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 activeTab="1"/>
  </bookViews>
  <sheets>
    <sheet name="Financial Creditor" sheetId="10" r:id="rId1"/>
    <sheet name="Form CA - Final" sheetId="19" r:id="rId2"/>
    <sheet name="FORM B" sheetId="3" r:id="rId3"/>
    <sheet name="FORM D" sheetId="2" r:id="rId4"/>
  </sheets>
  <definedNames>
    <definedName name="_xlnm._FilterDatabase" localSheetId="1" hidden="1">'Form CA - Final'!$A$2:$S$160</definedName>
    <definedName name="_xlnm.Print_Area" localSheetId="0">'Financial Creditor'!$B$2:$N$18</definedName>
    <definedName name="_xlnm.Print_Area" localSheetId="2">'FORM B'!$A$1:$O$38</definedName>
    <definedName name="_xlnm.Print_Area" localSheetId="1">'Form CA - Final'!$A$1:$S$215</definedName>
  </definedNames>
  <calcPr calcId="125725"/>
</workbook>
</file>

<file path=xl/calcChain.xml><?xml version="1.0" encoding="utf-8"?>
<calcChain xmlns="http://schemas.openxmlformats.org/spreadsheetml/2006/main">
  <c r="K197" i="19"/>
  <c r="O197"/>
  <c r="R196"/>
  <c r="S196" s="1"/>
  <c r="J30" i="2"/>
  <c r="M12"/>
  <c r="M11"/>
  <c r="F32" i="3"/>
  <c r="G32"/>
  <c r="I32"/>
  <c r="M32"/>
  <c r="N32"/>
  <c r="E32"/>
  <c r="K30"/>
  <c r="J30"/>
  <c r="K29"/>
  <c r="K32" s="1"/>
  <c r="J29"/>
  <c r="J32" s="1"/>
  <c r="H30"/>
  <c r="H29"/>
  <c r="N160" i="19"/>
  <c r="N184"/>
  <c r="R184"/>
  <c r="S184" s="1"/>
  <c r="M17" i="3"/>
  <c r="M14"/>
  <c r="M12"/>
  <c r="M11"/>
  <c r="M10"/>
  <c r="M6"/>
  <c r="M5"/>
  <c r="M24" i="2"/>
  <c r="M30"/>
  <c r="M26"/>
  <c r="F37"/>
  <c r="I36"/>
  <c r="J36" s="1"/>
  <c r="J32"/>
  <c r="J15"/>
  <c r="M24" i="3" l="1"/>
  <c r="J10"/>
  <c r="J10" i="2" l="1"/>
  <c r="J34"/>
  <c r="J21"/>
  <c r="J27"/>
  <c r="J9" l="1"/>
  <c r="H28"/>
  <c r="E28"/>
  <c r="H23"/>
  <c r="E23"/>
  <c r="E19"/>
  <c r="J19" s="1"/>
  <c r="E14"/>
  <c r="E13"/>
  <c r="E5"/>
  <c r="H8" i="10"/>
  <c r="K8" s="1"/>
  <c r="K9" s="1"/>
  <c r="G9"/>
  <c r="I9"/>
  <c r="J9"/>
  <c r="F9"/>
  <c r="J5" i="2" l="1"/>
  <c r="L8" i="10"/>
  <c r="B220" i="19" l="1"/>
  <c r="P195" l="1"/>
  <c r="R195" s="1"/>
  <c r="N195"/>
  <c r="D195"/>
  <c r="F195"/>
  <c r="H195" s="1"/>
  <c r="F194"/>
  <c r="F193"/>
  <c r="F192"/>
  <c r="F191"/>
  <c r="Q195" l="1"/>
  <c r="S195"/>
  <c r="I195"/>
  <c r="J195" s="1"/>
  <c r="L195"/>
  <c r="P185"/>
  <c r="R185" s="1"/>
  <c r="P152"/>
  <c r="P151"/>
  <c r="R151" s="1"/>
  <c r="S151" s="1"/>
  <c r="P137"/>
  <c r="P106"/>
  <c r="K19" i="3"/>
  <c r="J19"/>
  <c r="J16"/>
  <c r="J13"/>
  <c r="K9"/>
  <c r="E22" i="2" l="1"/>
  <c r="J22" s="1"/>
  <c r="J23"/>
  <c r="J13"/>
  <c r="I12" i="3"/>
  <c r="J12" s="1"/>
  <c r="I28" i="2" l="1"/>
  <c r="I23"/>
  <c r="M23" s="1"/>
  <c r="I21"/>
  <c r="M21" s="1"/>
  <c r="I22"/>
  <c r="M22" s="1"/>
  <c r="I24"/>
  <c r="I27"/>
  <c r="M27" s="1"/>
  <c r="I29"/>
  <c r="I30"/>
  <c r="I31"/>
  <c r="M31" s="1"/>
  <c r="I32"/>
  <c r="M32" s="1"/>
  <c r="I33"/>
  <c r="I34"/>
  <c r="M34" s="1"/>
  <c r="I35"/>
  <c r="I20"/>
  <c r="I19"/>
  <c r="M19" s="1"/>
  <c r="I18"/>
  <c r="M18" s="1"/>
  <c r="H17"/>
  <c r="I16"/>
  <c r="J14"/>
  <c r="H12"/>
  <c r="E12"/>
  <c r="E11"/>
  <c r="I11" s="1"/>
  <c r="I10"/>
  <c r="M10" s="1"/>
  <c r="I9"/>
  <c r="M9" s="1"/>
  <c r="H8"/>
  <c r="E8"/>
  <c r="I7"/>
  <c r="E6"/>
  <c r="H26"/>
  <c r="I26" s="1"/>
  <c r="E25"/>
  <c r="G25"/>
  <c r="G37" s="1"/>
  <c r="J25"/>
  <c r="I8" l="1"/>
  <c r="I17"/>
  <c r="J17"/>
  <c r="I6"/>
  <c r="E37"/>
  <c r="H37"/>
  <c r="I25"/>
  <c r="M25" s="1"/>
  <c r="J28"/>
  <c r="I12"/>
  <c r="K37" s="1"/>
  <c r="I13"/>
  <c r="M13" s="1"/>
  <c r="I14"/>
  <c r="M14" s="1"/>
  <c r="M28" l="1"/>
  <c r="J37"/>
  <c r="L37"/>
  <c r="M17"/>
  <c r="M210" i="19"/>
  <c r="N210"/>
  <c r="M194" l="1"/>
  <c r="N194" s="1"/>
  <c r="P194" s="1"/>
  <c r="H194"/>
  <c r="D194"/>
  <c r="R194" l="1"/>
  <c r="L194"/>
  <c r="I194"/>
  <c r="J194" s="1"/>
  <c r="Q194" l="1"/>
  <c r="S194"/>
  <c r="P209" l="1"/>
  <c r="P206"/>
  <c r="P182"/>
  <c r="P180"/>
  <c r="P172"/>
  <c r="P149"/>
  <c r="P140"/>
  <c r="P126"/>
  <c r="P109"/>
  <c r="P104"/>
  <c r="P101"/>
  <c r="P97"/>
  <c r="P87"/>
  <c r="P82"/>
  <c r="P79"/>
  <c r="P76"/>
  <c r="P74"/>
  <c r="P69"/>
  <c r="P66"/>
  <c r="P64"/>
  <c r="P61"/>
  <c r="P58"/>
  <c r="P56"/>
  <c r="P50"/>
  <c r="P49"/>
  <c r="P45"/>
  <c r="P43"/>
  <c r="P42"/>
  <c r="P40"/>
  <c r="P39"/>
  <c r="P37"/>
  <c r="P36"/>
  <c r="P35"/>
  <c r="P32"/>
  <c r="P30"/>
  <c r="P27"/>
  <c r="P26"/>
  <c r="P24"/>
  <c r="P23"/>
  <c r="P22"/>
  <c r="P21"/>
  <c r="P20"/>
  <c r="P19"/>
  <c r="P17"/>
  <c r="P15"/>
  <c r="P14"/>
  <c r="P12"/>
  <c r="P7"/>
  <c r="L160" l="1"/>
  <c r="M160"/>
  <c r="O160"/>
  <c r="K160"/>
  <c r="K198" s="1"/>
  <c r="P193" l="1"/>
  <c r="N193"/>
  <c r="H193"/>
  <c r="D193"/>
  <c r="R193" l="1"/>
  <c r="L193"/>
  <c r="I193"/>
  <c r="J193" s="1"/>
  <c r="Q193" l="1"/>
  <c r="S193"/>
  <c r="P207"/>
  <c r="R192"/>
  <c r="M191"/>
  <c r="M197" s="1"/>
  <c r="H191"/>
  <c r="L191" s="1"/>
  <c r="L197" s="1"/>
  <c r="D191"/>
  <c r="D197" s="1"/>
  <c r="L198" l="1"/>
  <c r="Q192"/>
  <c r="S192"/>
  <c r="M198"/>
  <c r="N191"/>
  <c r="N197" s="1"/>
  <c r="O198"/>
  <c r="I191"/>
  <c r="I197" s="1"/>
  <c r="N198" l="1"/>
  <c r="P191"/>
  <c r="J191"/>
  <c r="J197" s="1"/>
  <c r="R191" l="1"/>
  <c r="R190"/>
  <c r="D210"/>
  <c r="J210"/>
  <c r="K210"/>
  <c r="L210"/>
  <c r="O210"/>
  <c r="I210"/>
  <c r="J160"/>
  <c r="J198" s="1"/>
  <c r="I160"/>
  <c r="D160"/>
  <c r="D198" s="1"/>
  <c r="R207"/>
  <c r="P157"/>
  <c r="R209"/>
  <c r="P208"/>
  <c r="R208" s="1"/>
  <c r="R206"/>
  <c r="P205"/>
  <c r="R205" s="1"/>
  <c r="P204"/>
  <c r="R204" s="1"/>
  <c r="P203"/>
  <c r="R203" s="1"/>
  <c r="P202"/>
  <c r="P189"/>
  <c r="P188"/>
  <c r="P187"/>
  <c r="P186"/>
  <c r="P183"/>
  <c r="R182"/>
  <c r="P181"/>
  <c r="R180"/>
  <c r="P179"/>
  <c r="P178"/>
  <c r="P177"/>
  <c r="P176"/>
  <c r="P175"/>
  <c r="P174"/>
  <c r="P173"/>
  <c r="R172"/>
  <c r="P171"/>
  <c r="P170"/>
  <c r="P169"/>
  <c r="P168"/>
  <c r="P167"/>
  <c r="P166"/>
  <c r="P165"/>
  <c r="P164"/>
  <c r="P163"/>
  <c r="P162"/>
  <c r="P4"/>
  <c r="P5"/>
  <c r="P6"/>
  <c r="R7"/>
  <c r="P8"/>
  <c r="P9"/>
  <c r="P10"/>
  <c r="P11"/>
  <c r="R12"/>
  <c r="P13"/>
  <c r="R14"/>
  <c r="R15"/>
  <c r="P16"/>
  <c r="R17"/>
  <c r="P18"/>
  <c r="R19"/>
  <c r="R20"/>
  <c r="R21"/>
  <c r="R22"/>
  <c r="R23"/>
  <c r="R24"/>
  <c r="P25"/>
  <c r="R26"/>
  <c r="R27"/>
  <c r="P28"/>
  <c r="P29"/>
  <c r="R30"/>
  <c r="P31"/>
  <c r="R32"/>
  <c r="P33"/>
  <c r="P34"/>
  <c r="R35"/>
  <c r="R36"/>
  <c r="R37"/>
  <c r="P38"/>
  <c r="R39"/>
  <c r="R40"/>
  <c r="P41"/>
  <c r="R42"/>
  <c r="R43"/>
  <c r="P44"/>
  <c r="R45"/>
  <c r="P46"/>
  <c r="P47"/>
  <c r="P48"/>
  <c r="R49"/>
  <c r="R50"/>
  <c r="P51"/>
  <c r="P52"/>
  <c r="P53"/>
  <c r="P54"/>
  <c r="P55"/>
  <c r="R56"/>
  <c r="P57"/>
  <c r="R58"/>
  <c r="P59"/>
  <c r="P60"/>
  <c r="R61"/>
  <c r="P62"/>
  <c r="P63"/>
  <c r="R64"/>
  <c r="P65"/>
  <c r="R66"/>
  <c r="P67"/>
  <c r="P68"/>
  <c r="R69"/>
  <c r="P70"/>
  <c r="P71"/>
  <c r="P72"/>
  <c r="P73"/>
  <c r="R74"/>
  <c r="R75"/>
  <c r="R76"/>
  <c r="P77"/>
  <c r="R79"/>
  <c r="P80"/>
  <c r="P81"/>
  <c r="R82"/>
  <c r="P83"/>
  <c r="P84"/>
  <c r="P85"/>
  <c r="P86"/>
  <c r="R87"/>
  <c r="P88"/>
  <c r="P89"/>
  <c r="P90"/>
  <c r="P91"/>
  <c r="P92"/>
  <c r="P93"/>
  <c r="P94"/>
  <c r="P95"/>
  <c r="P96"/>
  <c r="R97"/>
  <c r="P98"/>
  <c r="P99"/>
  <c r="P100"/>
  <c r="R101"/>
  <c r="P102"/>
  <c r="P103"/>
  <c r="R104"/>
  <c r="P105"/>
  <c r="P107"/>
  <c r="P108"/>
  <c r="R109"/>
  <c r="P110"/>
  <c r="P111"/>
  <c r="P112"/>
  <c r="P113"/>
  <c r="P114"/>
  <c r="P115"/>
  <c r="P116"/>
  <c r="P117"/>
  <c r="P118"/>
  <c r="P119"/>
  <c r="P120"/>
  <c r="P121"/>
  <c r="P122"/>
  <c r="P123"/>
  <c r="P124"/>
  <c r="P125"/>
  <c r="R126"/>
  <c r="P127"/>
  <c r="P128"/>
  <c r="P129"/>
  <c r="P130"/>
  <c r="P131"/>
  <c r="P132"/>
  <c r="P133"/>
  <c r="P134"/>
  <c r="P135"/>
  <c r="P136"/>
  <c r="P138"/>
  <c r="P139"/>
  <c r="R140"/>
  <c r="P141"/>
  <c r="P142"/>
  <c r="P143"/>
  <c r="P144"/>
  <c r="P145"/>
  <c r="P146"/>
  <c r="P147"/>
  <c r="P148"/>
  <c r="R149"/>
  <c r="P150"/>
  <c r="P153"/>
  <c r="P154"/>
  <c r="P155"/>
  <c r="P156"/>
  <c r="P158"/>
  <c r="P159"/>
  <c r="P3"/>
  <c r="P197" l="1"/>
  <c r="Q87"/>
  <c r="S87"/>
  <c r="Q74"/>
  <c r="S74"/>
  <c r="Q66"/>
  <c r="S66"/>
  <c r="Q58"/>
  <c r="S58"/>
  <c r="Q50"/>
  <c r="S50"/>
  <c r="Q42"/>
  <c r="S42"/>
  <c r="Q30"/>
  <c r="S30"/>
  <c r="Q22"/>
  <c r="S22"/>
  <c r="Q109"/>
  <c r="S109"/>
  <c r="Q104"/>
  <c r="S104"/>
  <c r="Q75"/>
  <c r="S75"/>
  <c r="Q43"/>
  <c r="S43"/>
  <c r="Q39"/>
  <c r="S39"/>
  <c r="Q35"/>
  <c r="S35"/>
  <c r="Q27"/>
  <c r="S27"/>
  <c r="Q23"/>
  <c r="S23"/>
  <c r="Q19"/>
  <c r="S19"/>
  <c r="Q15"/>
  <c r="S15"/>
  <c r="Q7"/>
  <c r="S7"/>
  <c r="Q182"/>
  <c r="S182"/>
  <c r="Q204"/>
  <c r="S204"/>
  <c r="Q209"/>
  <c r="S209"/>
  <c r="Q191"/>
  <c r="S191"/>
  <c r="Q126"/>
  <c r="S126"/>
  <c r="Q97"/>
  <c r="S97"/>
  <c r="Q64"/>
  <c r="S64"/>
  <c r="Q36"/>
  <c r="S36"/>
  <c r="Q20"/>
  <c r="S20"/>
  <c r="Q203"/>
  <c r="S203"/>
  <c r="Q208"/>
  <c r="S208"/>
  <c r="Q190"/>
  <c r="S190"/>
  <c r="Q101"/>
  <c r="S101"/>
  <c r="Q76"/>
  <c r="S76"/>
  <c r="Q56"/>
  <c r="S56"/>
  <c r="Q40"/>
  <c r="S40"/>
  <c r="Q32"/>
  <c r="S32"/>
  <c r="Q24"/>
  <c r="S24"/>
  <c r="Q12"/>
  <c r="S12"/>
  <c r="Q140"/>
  <c r="S140"/>
  <c r="Q82"/>
  <c r="S82"/>
  <c r="Q69"/>
  <c r="S69"/>
  <c r="Q61"/>
  <c r="S61"/>
  <c r="Q49"/>
  <c r="S49"/>
  <c r="Q45"/>
  <c r="S45"/>
  <c r="Q37"/>
  <c r="S37"/>
  <c r="Q21"/>
  <c r="S21"/>
  <c r="Q17"/>
  <c r="S17"/>
  <c r="Q172"/>
  <c r="S172"/>
  <c r="Q180"/>
  <c r="S180"/>
  <c r="Q206"/>
  <c r="S206"/>
  <c r="Q207"/>
  <c r="S207"/>
  <c r="Q149"/>
  <c r="S149"/>
  <c r="Q79"/>
  <c r="S79"/>
  <c r="Q26"/>
  <c r="S26"/>
  <c r="Q14"/>
  <c r="S14"/>
  <c r="Q205"/>
  <c r="S205"/>
  <c r="R159"/>
  <c r="R154"/>
  <c r="R150"/>
  <c r="R146"/>
  <c r="R142"/>
  <c r="R138"/>
  <c r="R134"/>
  <c r="R130"/>
  <c r="R122"/>
  <c r="R118"/>
  <c r="R114"/>
  <c r="R110"/>
  <c r="R106"/>
  <c r="S106" s="1"/>
  <c r="R102"/>
  <c r="R98"/>
  <c r="R94"/>
  <c r="R90"/>
  <c r="R86"/>
  <c r="R78"/>
  <c r="S78" s="1"/>
  <c r="R70"/>
  <c r="R62"/>
  <c r="R54"/>
  <c r="R46"/>
  <c r="R38"/>
  <c r="R34"/>
  <c r="R18"/>
  <c r="R10"/>
  <c r="R6"/>
  <c r="R163"/>
  <c r="R167"/>
  <c r="R171"/>
  <c r="R175"/>
  <c r="R179"/>
  <c r="R183"/>
  <c r="R188"/>
  <c r="P160"/>
  <c r="R155"/>
  <c r="Q151"/>
  <c r="R147"/>
  <c r="R143"/>
  <c r="R139"/>
  <c r="R135"/>
  <c r="R131"/>
  <c r="R127"/>
  <c r="R123"/>
  <c r="R119"/>
  <c r="R115"/>
  <c r="R111"/>
  <c r="R107"/>
  <c r="R103"/>
  <c r="R99"/>
  <c r="R95"/>
  <c r="R91"/>
  <c r="R83"/>
  <c r="R71"/>
  <c r="R67"/>
  <c r="R63"/>
  <c r="R59"/>
  <c r="R55"/>
  <c r="R51"/>
  <c r="R47"/>
  <c r="R31"/>
  <c r="R11"/>
  <c r="R166"/>
  <c r="R170"/>
  <c r="R174"/>
  <c r="R178"/>
  <c r="R187"/>
  <c r="R156"/>
  <c r="R152"/>
  <c r="S152" s="1"/>
  <c r="R148"/>
  <c r="R144"/>
  <c r="R136"/>
  <c r="R132"/>
  <c r="R128"/>
  <c r="R124"/>
  <c r="R120"/>
  <c r="R116"/>
  <c r="R112"/>
  <c r="R108"/>
  <c r="R100"/>
  <c r="R96"/>
  <c r="R92"/>
  <c r="R88"/>
  <c r="R84"/>
  <c r="R80"/>
  <c r="R72"/>
  <c r="R68"/>
  <c r="R60"/>
  <c r="R52"/>
  <c r="R48"/>
  <c r="R44"/>
  <c r="R28"/>
  <c r="R16"/>
  <c r="R8"/>
  <c r="R4"/>
  <c r="R165"/>
  <c r="R169"/>
  <c r="R173"/>
  <c r="R177"/>
  <c r="R181"/>
  <c r="R186"/>
  <c r="R158"/>
  <c r="R153"/>
  <c r="R145"/>
  <c r="R141"/>
  <c r="R137"/>
  <c r="S137" s="1"/>
  <c r="R133"/>
  <c r="R129"/>
  <c r="R125"/>
  <c r="R121"/>
  <c r="R117"/>
  <c r="R113"/>
  <c r="R105"/>
  <c r="R93"/>
  <c r="R89"/>
  <c r="R85"/>
  <c r="R81"/>
  <c r="R77"/>
  <c r="R73"/>
  <c r="R65"/>
  <c r="R57"/>
  <c r="R53"/>
  <c r="R41"/>
  <c r="R33"/>
  <c r="R29"/>
  <c r="R25"/>
  <c r="R13"/>
  <c r="R9"/>
  <c r="R5"/>
  <c r="R168"/>
  <c r="R176"/>
  <c r="S185"/>
  <c r="R189"/>
  <c r="R157"/>
  <c r="I198"/>
  <c r="I213" s="1"/>
  <c r="I214" s="1"/>
  <c r="R162"/>
  <c r="P210"/>
  <c r="R202"/>
  <c r="K213"/>
  <c r="K214" s="1"/>
  <c r="F12" i="10"/>
  <c r="F15"/>
  <c r="R3" i="19"/>
  <c r="S3" s="1"/>
  <c r="J213"/>
  <c r="J214" s="1"/>
  <c r="R164"/>
  <c r="S164" s="1"/>
  <c r="L213"/>
  <c r="L214" s="1"/>
  <c r="R197" l="1"/>
  <c r="Q157"/>
  <c r="S157"/>
  <c r="Q25"/>
  <c r="S25"/>
  <c r="Q53"/>
  <c r="S53"/>
  <c r="Q93"/>
  <c r="S93"/>
  <c r="Q121"/>
  <c r="S121"/>
  <c r="Q158"/>
  <c r="S158"/>
  <c r="Q8"/>
  <c r="S8"/>
  <c r="Q48"/>
  <c r="S48"/>
  <c r="Q92"/>
  <c r="S92"/>
  <c r="Q128"/>
  <c r="S128"/>
  <c r="Q178"/>
  <c r="S178"/>
  <c r="Q11"/>
  <c r="S11"/>
  <c r="Q71"/>
  <c r="S71"/>
  <c r="Q115"/>
  <c r="S115"/>
  <c r="Q131"/>
  <c r="S131"/>
  <c r="Q188"/>
  <c r="S188"/>
  <c r="Q10"/>
  <c r="S10"/>
  <c r="Q46"/>
  <c r="S46"/>
  <c r="Q98"/>
  <c r="S98"/>
  <c r="Q114"/>
  <c r="S114"/>
  <c r="Q150"/>
  <c r="S150"/>
  <c r="Q176"/>
  <c r="S176"/>
  <c r="Q13"/>
  <c r="S13"/>
  <c r="Q41"/>
  <c r="S41"/>
  <c r="Q73"/>
  <c r="S73"/>
  <c r="Q89"/>
  <c r="S89"/>
  <c r="Q117"/>
  <c r="S117"/>
  <c r="Q133"/>
  <c r="S133"/>
  <c r="Q153"/>
  <c r="S153"/>
  <c r="Q177"/>
  <c r="S177"/>
  <c r="Q4"/>
  <c r="S4"/>
  <c r="Q44"/>
  <c r="S44"/>
  <c r="Q68"/>
  <c r="S68"/>
  <c r="Q88"/>
  <c r="S88"/>
  <c r="Q108"/>
  <c r="S108"/>
  <c r="Q124"/>
  <c r="S124"/>
  <c r="Q144"/>
  <c r="S144"/>
  <c r="Q187"/>
  <c r="S187"/>
  <c r="Q166"/>
  <c r="S166"/>
  <c r="Q51"/>
  <c r="S51"/>
  <c r="Q67"/>
  <c r="S67"/>
  <c r="Q95"/>
  <c r="S95"/>
  <c r="Q111"/>
  <c r="S111"/>
  <c r="Q127"/>
  <c r="S127"/>
  <c r="Q143"/>
  <c r="S143"/>
  <c r="Q175"/>
  <c r="S175"/>
  <c r="Q6"/>
  <c r="S6"/>
  <c r="Q38"/>
  <c r="S38"/>
  <c r="Q70"/>
  <c r="S70"/>
  <c r="Q94"/>
  <c r="S94"/>
  <c r="Q110"/>
  <c r="S110"/>
  <c r="Q130"/>
  <c r="S130"/>
  <c r="Q146"/>
  <c r="S146"/>
  <c r="S162"/>
  <c r="Q9"/>
  <c r="S9"/>
  <c r="Q85"/>
  <c r="S85"/>
  <c r="Q129"/>
  <c r="S129"/>
  <c r="Q165"/>
  <c r="S165"/>
  <c r="Q60"/>
  <c r="S60"/>
  <c r="Q100"/>
  <c r="S100"/>
  <c r="Q156"/>
  <c r="S156"/>
  <c r="Q47"/>
  <c r="S47"/>
  <c r="Q107"/>
  <c r="S107"/>
  <c r="Q139"/>
  <c r="S139"/>
  <c r="Q163"/>
  <c r="S163"/>
  <c r="Q90"/>
  <c r="S90"/>
  <c r="Q122"/>
  <c r="S122"/>
  <c r="Q159"/>
  <c r="S159"/>
  <c r="Q33"/>
  <c r="S33"/>
  <c r="Q65"/>
  <c r="S65"/>
  <c r="Q113"/>
  <c r="S113"/>
  <c r="Q145"/>
  <c r="S145"/>
  <c r="Q181"/>
  <c r="S181"/>
  <c r="Q28"/>
  <c r="S28"/>
  <c r="Q84"/>
  <c r="S84"/>
  <c r="Q120"/>
  <c r="S120"/>
  <c r="Q136"/>
  <c r="S136"/>
  <c r="Q170"/>
  <c r="S170"/>
  <c r="Q63"/>
  <c r="S63"/>
  <c r="Q91"/>
  <c r="S91"/>
  <c r="Q123"/>
  <c r="S123"/>
  <c r="Q155"/>
  <c r="S155"/>
  <c r="Q179"/>
  <c r="S179"/>
  <c r="Q34"/>
  <c r="S34"/>
  <c r="Q62"/>
  <c r="S62"/>
  <c r="Q142"/>
  <c r="S142"/>
  <c r="Q189"/>
  <c r="S189"/>
  <c r="Q5"/>
  <c r="S5"/>
  <c r="Q29"/>
  <c r="S29"/>
  <c r="Q57"/>
  <c r="S57"/>
  <c r="Q81"/>
  <c r="S81"/>
  <c r="Q105"/>
  <c r="S105"/>
  <c r="Q125"/>
  <c r="S125"/>
  <c r="Q141"/>
  <c r="S141"/>
  <c r="Q186"/>
  <c r="S186"/>
  <c r="Q169"/>
  <c r="S169"/>
  <c r="Q16"/>
  <c r="S16"/>
  <c r="Q52"/>
  <c r="S52"/>
  <c r="Q80"/>
  <c r="S80"/>
  <c r="Q96"/>
  <c r="S96"/>
  <c r="Q116"/>
  <c r="S116"/>
  <c r="Q132"/>
  <c r="S132"/>
  <c r="Q174"/>
  <c r="S174"/>
  <c r="Q31"/>
  <c r="S31"/>
  <c r="Q59"/>
  <c r="S59"/>
  <c r="Q83"/>
  <c r="S83"/>
  <c r="Q103"/>
  <c r="S103"/>
  <c r="Q119"/>
  <c r="S119"/>
  <c r="Q135"/>
  <c r="S135"/>
  <c r="Q183"/>
  <c r="S183"/>
  <c r="Q167"/>
  <c r="S167"/>
  <c r="Q18"/>
  <c r="S18"/>
  <c r="Q54"/>
  <c r="S54"/>
  <c r="Q86"/>
  <c r="S86"/>
  <c r="Q102"/>
  <c r="S102"/>
  <c r="Q118"/>
  <c r="S118"/>
  <c r="Q138"/>
  <c r="S138"/>
  <c r="Q154"/>
  <c r="S154"/>
  <c r="Q202"/>
  <c r="Q210" s="1"/>
  <c r="S202"/>
  <c r="S210" s="1"/>
  <c r="K15" i="10" s="1"/>
  <c r="Q168" i="19"/>
  <c r="S168"/>
  <c r="Q77"/>
  <c r="S77"/>
  <c r="Q173"/>
  <c r="S173"/>
  <c r="Q72"/>
  <c r="S72"/>
  <c r="Q112"/>
  <c r="S112"/>
  <c r="Q148"/>
  <c r="S148"/>
  <c r="Q55"/>
  <c r="S55"/>
  <c r="Q99"/>
  <c r="S99"/>
  <c r="Q147"/>
  <c r="S147"/>
  <c r="Q171"/>
  <c r="S171"/>
  <c r="Q134"/>
  <c r="S134"/>
  <c r="Q185"/>
  <c r="Q152"/>
  <c r="Q137"/>
  <c r="Q106"/>
  <c r="Q78"/>
  <c r="P198"/>
  <c r="R160"/>
  <c r="Q162"/>
  <c r="R210"/>
  <c r="Q164"/>
  <c r="Q3"/>
  <c r="Q197" l="1"/>
  <c r="S197"/>
  <c r="S160"/>
  <c r="S198" s="1"/>
  <c r="R198"/>
  <c r="Q160"/>
  <c r="K12" i="10" l="1"/>
  <c r="Q198" i="19"/>
  <c r="K19" i="10" l="1"/>
  <c r="M8" s="1"/>
  <c r="M12" l="1"/>
  <c r="M6"/>
  <c r="M5"/>
  <c r="I13" l="1"/>
  <c r="I18" s="1"/>
  <c r="J13"/>
  <c r="J18" s="1"/>
  <c r="L7"/>
  <c r="H15" l="1"/>
  <c r="F13" l="1"/>
  <c r="H6"/>
  <c r="F16" l="1"/>
  <c r="F18"/>
  <c r="H9"/>
  <c r="L6"/>
  <c r="L9" s="1"/>
  <c r="L13" s="1"/>
  <c r="K13"/>
  <c r="K16" l="1"/>
  <c r="K18"/>
  <c r="I7" i="3"/>
  <c r="J7" s="1"/>
  <c r="M7" i="10" l="1"/>
  <c r="J8" i="3"/>
  <c r="L8" s="1"/>
  <c r="J24" l="1"/>
  <c r="M13" i="10"/>
  <c r="M16" l="1"/>
  <c r="I8" i="3"/>
  <c r="I5"/>
  <c r="F9"/>
  <c r="F24" s="1"/>
  <c r="E9"/>
  <c r="I24" l="1"/>
  <c r="E24"/>
  <c r="H9"/>
  <c r="L9" s="1"/>
  <c r="I5" i="2"/>
  <c r="M5" l="1"/>
  <c r="H8" i="3"/>
  <c r="I15" i="2" l="1"/>
  <c r="H22" i="3"/>
  <c r="L22" s="1"/>
  <c r="H21"/>
  <c r="L21" s="1"/>
  <c r="H23"/>
  <c r="L23" s="1"/>
  <c r="H20"/>
  <c r="L20" s="1"/>
  <c r="H19"/>
  <c r="H18"/>
  <c r="L18" s="1"/>
  <c r="H31"/>
  <c r="H17"/>
  <c r="L17" s="1"/>
  <c r="G16"/>
  <c r="G24" s="1"/>
  <c r="H15"/>
  <c r="L15" s="1"/>
  <c r="H14"/>
  <c r="L14" s="1"/>
  <c r="H13"/>
  <c r="H12"/>
  <c r="L12" s="1"/>
  <c r="H38"/>
  <c r="L38" s="1"/>
  <c r="H11"/>
  <c r="L11" s="1"/>
  <c r="H37"/>
  <c r="L37" s="1"/>
  <c r="H10"/>
  <c r="L10" s="1"/>
  <c r="H36"/>
  <c r="L36" s="1"/>
  <c r="H7"/>
  <c r="L7" s="1"/>
  <c r="H6"/>
  <c r="L6" s="1"/>
  <c r="H5"/>
  <c r="L31" l="1"/>
  <c r="L32" s="1"/>
  <c r="H32"/>
  <c r="M15" i="2"/>
  <c r="M37" s="1"/>
  <c r="I37"/>
  <c r="L5" i="3"/>
  <c r="N13"/>
  <c r="N24" s="1"/>
  <c r="L13"/>
  <c r="H16"/>
  <c r="H24" s="1"/>
  <c r="K16"/>
  <c r="K24" s="1"/>
  <c r="H12" i="10" l="1"/>
  <c r="L16" i="3"/>
  <c r="L24" s="1"/>
  <c r="G13" i="10" l="1"/>
  <c r="G16" l="1"/>
  <c r="G18"/>
  <c r="H13"/>
  <c r="L18"/>
  <c r="H19" l="1"/>
  <c r="H18"/>
  <c r="H16"/>
  <c r="L16"/>
  <c r="I16"/>
</calcChain>
</file>

<file path=xl/sharedStrings.xml><?xml version="1.0" encoding="utf-8"?>
<sst xmlns="http://schemas.openxmlformats.org/spreadsheetml/2006/main" count="729" uniqueCount="613">
  <si>
    <t>Sr. no</t>
  </si>
  <si>
    <t>NAME</t>
  </si>
  <si>
    <t>ADDRESS</t>
  </si>
  <si>
    <t>PRINCIPAL CLAIM</t>
  </si>
  <si>
    <t>TOTAL CLAIM</t>
  </si>
  <si>
    <t>Vineet Gehani &amp; Vani Gehani</t>
  </si>
  <si>
    <t>C-403</t>
  </si>
  <si>
    <t>F-603</t>
  </si>
  <si>
    <t>Dipika Vasdev</t>
  </si>
  <si>
    <t>No</t>
  </si>
  <si>
    <t>B-602</t>
  </si>
  <si>
    <t xml:space="preserve">Mr. Ajay Kumar Agarwal </t>
  </si>
  <si>
    <t>Not Calculated</t>
  </si>
  <si>
    <t>E-1503</t>
  </si>
  <si>
    <t xml:space="preserve">M/S. Aaa landmark pvt ltd </t>
  </si>
  <si>
    <t>-</t>
  </si>
  <si>
    <t>D-1603</t>
  </si>
  <si>
    <t>Arun Anand</t>
  </si>
  <si>
    <t>E-1501</t>
  </si>
  <si>
    <t>E-1601</t>
  </si>
  <si>
    <t>Sajjan Kumar Agarwal</t>
  </si>
  <si>
    <t>C-1102</t>
  </si>
  <si>
    <t>Sangeeta Arora</t>
  </si>
  <si>
    <t>A-202</t>
  </si>
  <si>
    <t>F-702</t>
  </si>
  <si>
    <t>A-801</t>
  </si>
  <si>
    <t>Sandeep Agarwal</t>
  </si>
  <si>
    <t>A-1001</t>
  </si>
  <si>
    <t>B-503</t>
  </si>
  <si>
    <t>Rakesh Sarin &amp; Bala Sarin</t>
  </si>
  <si>
    <t>A-1202</t>
  </si>
  <si>
    <t>Ratna Sharma &amp; Sudhir Kumar Sharma</t>
  </si>
  <si>
    <t>A-1201</t>
  </si>
  <si>
    <t>Rajarajan Viswanathan</t>
  </si>
  <si>
    <t>E-802</t>
  </si>
  <si>
    <t>Rajesh Kumar Gupta</t>
  </si>
  <si>
    <t>B-201</t>
  </si>
  <si>
    <t>B-1601</t>
  </si>
  <si>
    <t>Rajeev Mahajan &amp; Rohit Savara</t>
  </si>
  <si>
    <t>G-1502</t>
  </si>
  <si>
    <t>C-102</t>
  </si>
  <si>
    <t>A-1501</t>
  </si>
  <si>
    <t>Rekha Yadav</t>
  </si>
  <si>
    <t>C-003</t>
  </si>
  <si>
    <t>C-401</t>
  </si>
  <si>
    <t>A-802</t>
  </si>
  <si>
    <t>B-703</t>
  </si>
  <si>
    <t>Prem Kumar Goyal</t>
  </si>
  <si>
    <t>A-1103</t>
  </si>
  <si>
    <t>Prasoon Chauhan</t>
  </si>
  <si>
    <t>D-602</t>
  </si>
  <si>
    <t>Nirbhai Singh &amp; Jarnail Singh</t>
  </si>
  <si>
    <t>F-102</t>
  </si>
  <si>
    <t>Naveen Chitkara</t>
  </si>
  <si>
    <t>Nitin Gulati &amp; Aarti Gulati</t>
  </si>
  <si>
    <t>A-101</t>
  </si>
  <si>
    <t>Navnitya Parkash Goyal</t>
  </si>
  <si>
    <t>E-1403</t>
  </si>
  <si>
    <t>E-1003</t>
  </si>
  <si>
    <t>Vijay Kumar Tanwar</t>
  </si>
  <si>
    <t>A-502</t>
  </si>
  <si>
    <t>A-1101</t>
  </si>
  <si>
    <t>Vikas Sharma &amp; Divya Sharma</t>
  </si>
  <si>
    <t>B-1602</t>
  </si>
  <si>
    <t>Tripta Agarwal &amp; Arvind Kumar Agarwal</t>
  </si>
  <si>
    <t>E-1002</t>
  </si>
  <si>
    <t>Tarun Chawla &amp; Khushi Vats</t>
  </si>
  <si>
    <t>B-401</t>
  </si>
  <si>
    <t>B-1201</t>
  </si>
  <si>
    <t>B-1102</t>
  </si>
  <si>
    <t>Himanshu Shekhar</t>
  </si>
  <si>
    <t>D-701</t>
  </si>
  <si>
    <t>Mahesh Dutt Kala</t>
  </si>
  <si>
    <t>A-501</t>
  </si>
  <si>
    <t>Nini Nanda</t>
  </si>
  <si>
    <t>F-1402</t>
  </si>
  <si>
    <t>A-003</t>
  </si>
  <si>
    <t>Amit Kumar</t>
  </si>
  <si>
    <t>A-301</t>
  </si>
  <si>
    <t>Ravinder Aggarwal</t>
  </si>
  <si>
    <t>B-1203</t>
  </si>
  <si>
    <t>Aqueel Ahmad</t>
  </si>
  <si>
    <t>D-1402</t>
  </si>
  <si>
    <t>Deepali Chandhoke</t>
  </si>
  <si>
    <t>Gaurav Bakshi</t>
  </si>
  <si>
    <t>B-103</t>
  </si>
  <si>
    <t>Sudhir Sharma</t>
  </si>
  <si>
    <t>Sonal Anand</t>
  </si>
  <si>
    <t>E-002</t>
  </si>
  <si>
    <t>C-803</t>
  </si>
  <si>
    <t>Jag Pal Singh</t>
  </si>
  <si>
    <t>Divya Jindal</t>
  </si>
  <si>
    <t>Akhilesh Kumar Gupta and Ruchi Gupta</t>
  </si>
  <si>
    <t>Amit Krishan Luthra &amp; Praketa Luthra</t>
  </si>
  <si>
    <t>Adarsh Kumar</t>
  </si>
  <si>
    <t xml:space="preserve">Anuradha Kapoor </t>
  </si>
  <si>
    <t>C-1401</t>
  </si>
  <si>
    <t>Arvind Kochar</t>
  </si>
  <si>
    <t>C-1002</t>
  </si>
  <si>
    <t>Anurag Upadhyaya &amp; Bhavna Upadhyaya</t>
  </si>
  <si>
    <t>D-903</t>
  </si>
  <si>
    <t>Amandeep Sachdeva</t>
  </si>
  <si>
    <t>B-1402</t>
  </si>
  <si>
    <t>B-502</t>
  </si>
  <si>
    <t>Sunita Bakshi</t>
  </si>
  <si>
    <t>C-303</t>
  </si>
  <si>
    <t>A-1602</t>
  </si>
  <si>
    <t>A-303</t>
  </si>
  <si>
    <t>Shailja Sharma</t>
  </si>
  <si>
    <t>D-902</t>
  </si>
  <si>
    <t>A-701</t>
  </si>
  <si>
    <t>Shruti Sud</t>
  </si>
  <si>
    <t>F-403</t>
  </si>
  <si>
    <t>B-501</t>
  </si>
  <si>
    <t>Cristina Patnaik</t>
  </si>
  <si>
    <t>G-1002</t>
  </si>
  <si>
    <t>Maya Patnaik</t>
  </si>
  <si>
    <t>A-602</t>
  </si>
  <si>
    <t>Priyanka Jain</t>
  </si>
  <si>
    <t>D-1403</t>
  </si>
  <si>
    <t>G-103</t>
  </si>
  <si>
    <t>Ankit Goel and Deepali Goel</t>
  </si>
  <si>
    <t>A-1803</t>
  </si>
  <si>
    <t>Dinesh Upadhyay</t>
  </si>
  <si>
    <t>Aayush Mattoo</t>
  </si>
  <si>
    <t>Neeru Bansal</t>
  </si>
  <si>
    <t>Sumit Ginglani</t>
  </si>
  <si>
    <t>A-1403</t>
  </si>
  <si>
    <t>F-703</t>
  </si>
  <si>
    <t>Veni Rastogi Gupta</t>
  </si>
  <si>
    <t>E-1102</t>
  </si>
  <si>
    <t>B-1001</t>
  </si>
  <si>
    <t>Amit Gupta &amp; Daksh Goyal</t>
  </si>
  <si>
    <t>C-202</t>
  </si>
  <si>
    <t>Kalpana</t>
  </si>
  <si>
    <t>A-1203</t>
  </si>
  <si>
    <t>Golden Realtors Private Limited</t>
  </si>
  <si>
    <t>Namita Mahajan</t>
  </si>
  <si>
    <t>Sachin Chhabra</t>
  </si>
  <si>
    <t>Anil Kumar Grover and Indu Grover</t>
  </si>
  <si>
    <t>Kamayani Kanwar</t>
  </si>
  <si>
    <t>Vinita &amp; Dinesh Bhutani</t>
  </si>
  <si>
    <t>C-902</t>
  </si>
  <si>
    <t>INTEREST CLAIM</t>
  </si>
  <si>
    <t>Mohit Agarwal</t>
  </si>
  <si>
    <t>MAAS</t>
  </si>
  <si>
    <t>D-229, Basement Sarvodya Enclave, New Delhi-110017</t>
  </si>
  <si>
    <t>Luthra &amp; Luthra Law Offices</t>
  </si>
  <si>
    <t>Law offices 103, Ashoka Estate, Barakhamba Road, ND</t>
  </si>
  <si>
    <t>Luthra &amp; Luthra Law Chartered Accountants (Firm)</t>
  </si>
  <si>
    <t>A-16/9, Vasant Vihar, New Delhi</t>
  </si>
  <si>
    <t>Kuljit Singh Saini</t>
  </si>
  <si>
    <t>Village Naimatpur, PO Shamdoo, Tehsil Rajpura, Distt Patiala 
ALSO AT:-
45, Imperial Court, Monroe Township, New Jersy, USA</t>
  </si>
  <si>
    <t>Elite Industrial security services</t>
  </si>
  <si>
    <t>I-18, Lajpat Nagar -3, New Delhi</t>
  </si>
  <si>
    <t>Balram Corporate Services Pvt Ltd</t>
  </si>
  <si>
    <t>No. 20 Kaveri Layout, Balram Central, Harlur Road, Kundlu Village, Bangalore</t>
  </si>
  <si>
    <t>Brijesh Sahni</t>
  </si>
  <si>
    <t>H.No. 597, Sector 22, NIT Faridabad, Haryana</t>
  </si>
  <si>
    <t>Azad Bhatia</t>
  </si>
  <si>
    <t>Fortune City, Chandigarh Road NH-95, Jandiali, Ludhiana, Punjab</t>
  </si>
  <si>
    <t>Acquisory Consulting LLP</t>
  </si>
  <si>
    <t>Tirath Ram Ahuja Pvt. Ltd.</t>
  </si>
  <si>
    <t>11, Friends Colony, West, New Delhi</t>
  </si>
  <si>
    <t>S.N Dhawan &amp; Co. LLP</t>
  </si>
  <si>
    <t>410, Ansal Bhawan, 16 K.G Marg, New Delhi</t>
  </si>
  <si>
    <t>RDC Concrete (India) Private Limited</t>
  </si>
  <si>
    <t>7th Floor, Thane One Corporate IT Park, DIL Complex, Ghodbunder Road, Thane (West), 400610</t>
  </si>
  <si>
    <t>Pradeep Singh</t>
  </si>
  <si>
    <t>No. TF-07, Third Floor, City Point, 13, Infantry Road, Bengaluru, Karnataka-560001</t>
  </si>
  <si>
    <t>Power2sme Private Limited</t>
  </si>
  <si>
    <t>Plot No. 88, Udyog Vihar, Phase -4, Gurugram, Haryana- 122015</t>
  </si>
  <si>
    <t>M/s I R Realtech Pvt. Ltd</t>
  </si>
  <si>
    <t>Office No. 403, 4th Floor Star Infinity Tower Plot No. 14, Sector 114, Seemant Vihar, Kaushambi, Ghaziabad</t>
  </si>
  <si>
    <t>Asst. Commisioner of Income Tax Central Circle - 15, Delhi</t>
  </si>
  <si>
    <t>Room No. 245, 2nd Floor, E-2, ARA Centre, Jhandewalan, New Delhi</t>
  </si>
  <si>
    <t>Alamak Capital</t>
  </si>
  <si>
    <t>C-56, Basement, Soami Nagar, New Delhi-110017</t>
  </si>
  <si>
    <t>Messrs OCS Group (India) Pvt. Ltd.</t>
  </si>
  <si>
    <t>501, Thane One, Ghodbunder Road, Majiwada, Thane West</t>
  </si>
  <si>
    <t>Prism Johnson Limited</t>
  </si>
  <si>
    <t>GI Power Corporation Limited</t>
  </si>
  <si>
    <t>64/B, Mittal Tower, Nariman Point, Mumbai, Maharashtra</t>
  </si>
  <si>
    <t>Interest not Claimed</t>
  </si>
  <si>
    <t>Name of Worker/Employee</t>
  </si>
  <si>
    <t>Address and Contact No.</t>
  </si>
  <si>
    <t>Gratuity</t>
  </si>
  <si>
    <t>Interest Claimed (Rs.)</t>
  </si>
  <si>
    <t>Total Amount Claimed (Rs.)</t>
  </si>
  <si>
    <t xml:space="preserve">Hari kishan Sharma </t>
  </si>
  <si>
    <t>Gowri Sankari J</t>
  </si>
  <si>
    <t>SAMRUDHI,472A, 5th main, 14th Cross,byrasandra road, GM Palya, New Thippasandra Post, Bengaluru,560075</t>
  </si>
  <si>
    <t>Gangadhar V</t>
  </si>
  <si>
    <t>27 C Cross pipe line Basappa Garden Malleswaram Bangalore-03</t>
  </si>
  <si>
    <t>D Joyce Helen Rani</t>
  </si>
  <si>
    <t>171, 4th cross, RR Layout. Doorvani Nagar, Vijanapura, Bangalore - 560016</t>
  </si>
  <si>
    <t>B.C. Yogananda</t>
  </si>
  <si>
    <t>554, 7TH Main V Cross, Vijaynagar, Bangalore - 560040</t>
  </si>
  <si>
    <t>Anis Ahmed N K</t>
  </si>
  <si>
    <t>Amandeep Singh</t>
  </si>
  <si>
    <t>HIG - 808, Phase - 2, Mohali, Punjab</t>
  </si>
  <si>
    <t>Ankur Garg</t>
  </si>
  <si>
    <t>A 1203, the Hyde Park, Sector 78, Noida, UP - 201301</t>
  </si>
  <si>
    <t>Rajesh Kumar</t>
  </si>
  <si>
    <t>D-62, Nawada Housing Complex, Kakrola Moad, New Delhi - 110059</t>
  </si>
  <si>
    <t>Rajiv Sharma</t>
  </si>
  <si>
    <t>Prisikila L</t>
  </si>
  <si>
    <t>Puttar Ravi</t>
  </si>
  <si>
    <t>No. 2217, Ground Floor, 12th main "A" Block - Subramanya Nagar, Bangalore - 560010</t>
  </si>
  <si>
    <t>Mohit Aggarwal</t>
  </si>
  <si>
    <t>Flat No. F - 2, Plot No. - 89, Sector - 6, Vaishali, Ghaziabad - 201012</t>
  </si>
  <si>
    <t>Manoj Kumar</t>
  </si>
  <si>
    <t>Road No. 7, Behind Central School, Siddharth Nagar, Partapur Chaudhary, Bariely, UP - 243122</t>
  </si>
  <si>
    <t>Mahendra B</t>
  </si>
  <si>
    <t>71, 1st cross, Bayyanna layout, Bhattarahalli Virgonagar (PO), Bangalore - 560049</t>
  </si>
  <si>
    <t>Kumaran A</t>
  </si>
  <si>
    <t>#145, Siddartha Nagar, Dr. TCM, Royab Road, Bangalore - 560053</t>
  </si>
  <si>
    <t>Jatin Khanna</t>
  </si>
  <si>
    <t>Plot No. 52, Flat No. 106, Supertech 4, sector 5, Rajinder Nagar, Sahibabad, Ghaziabad, UP</t>
  </si>
  <si>
    <t>Jitendra Pandey</t>
  </si>
  <si>
    <t>FF - 22, Siddha Vinayk Appartment, Abhay Khand - 3, Indrapuram, Ghaziabad - 201014</t>
  </si>
  <si>
    <t>Vineet Nanda</t>
  </si>
  <si>
    <t>B - 435, 1st floor, New friends colony, New Delhi - 110065</t>
  </si>
  <si>
    <t>Vivek Gupta</t>
  </si>
  <si>
    <t>1211, Tower - 11, Purwanchal Royal Park, Sector - 137, Noida, UP - 201304</t>
  </si>
  <si>
    <t>Sunil Kumar Menon</t>
  </si>
  <si>
    <t>77, defensce colony, 2nd main, 1st cross, Indira Nagar, Bangaore - 560038, Karnataka</t>
  </si>
  <si>
    <t>Sonal Tambi w/o Vijay Rawat</t>
  </si>
  <si>
    <t>H.No. 338, Housing Board Colony, Saraswati Vihar, Gurgaon</t>
  </si>
  <si>
    <t>Sudhir Sud</t>
  </si>
  <si>
    <t>L - 5, Green park main, New Delhi - 110016</t>
  </si>
  <si>
    <t>Saral Prasanna Kumar</t>
  </si>
  <si>
    <t>16, 2nd cross, ITC colony, Cox town, Jeevanahalli, Bangalore</t>
  </si>
  <si>
    <t>Rajesh Bahadur Chopra</t>
  </si>
  <si>
    <t>H.No. 1460, Sector 28, Faridabad - 121008</t>
  </si>
  <si>
    <t>Ramanjot Singh</t>
  </si>
  <si>
    <t>N-20, Mohan Garden, Gurudwara Road, Uttam Nagar, New Delhi - 110059</t>
  </si>
  <si>
    <t>Vineet Kumar</t>
  </si>
  <si>
    <t>H.No. G-58, Gali No. 3, 40 ET road, Molarband Extension, Badrapur border, New delhi - 110044</t>
  </si>
  <si>
    <t>Ajay Pal Chauhan</t>
  </si>
  <si>
    <t>H.No. 1302, Gali No. 4, New Baswlva Colony, Old Faridabad - 121002</t>
  </si>
  <si>
    <t>Saurabh Lamba</t>
  </si>
  <si>
    <t>H.No. 1696/1, Gaushala Road, Ward No. 10, Ropar, Punjab - 140001</t>
  </si>
  <si>
    <t>Sudhanshu Singh</t>
  </si>
  <si>
    <t>S.NO</t>
  </si>
  <si>
    <t>Yes</t>
  </si>
  <si>
    <t>A-102</t>
  </si>
  <si>
    <t>Amit Gupta and Rachita Gupta</t>
  </si>
  <si>
    <t>Anant Pokhrana and Rampal Rathi</t>
  </si>
  <si>
    <t>B-1101</t>
  </si>
  <si>
    <t>Amit Verma( Sunita Dagar- Payments also made by her</t>
  </si>
  <si>
    <t>Amit Yadav and Dr Munesh Yadav</t>
  </si>
  <si>
    <t>Amit Sodhi</t>
  </si>
  <si>
    <t>Manjeet Kaur</t>
  </si>
  <si>
    <t>Kanupriya Arora</t>
  </si>
  <si>
    <t>Jossy John</t>
  </si>
  <si>
    <t>Mridul Goel</t>
  </si>
  <si>
    <t>Mridul Goel HUF</t>
  </si>
  <si>
    <t>Nand Kumar Singh</t>
  </si>
  <si>
    <t>Laxman Aggarwal</t>
  </si>
  <si>
    <t>Rimple Dhiraaj</t>
  </si>
  <si>
    <t>Asha Garg</t>
  </si>
  <si>
    <t>E-302</t>
  </si>
  <si>
    <t>Harinder Singh</t>
  </si>
  <si>
    <t>B-1003</t>
  </si>
  <si>
    <t>Waryam Singh</t>
  </si>
  <si>
    <t>R.S Manti / Santokh Mantri</t>
  </si>
  <si>
    <t>Total Verified</t>
  </si>
  <si>
    <t>Surinder Kaur &amp; Devinder Pal Singh</t>
  </si>
  <si>
    <t>B-002</t>
  </si>
  <si>
    <t>Sashwat Sharma</t>
  </si>
  <si>
    <t>B-402</t>
  </si>
  <si>
    <t>C-503</t>
  </si>
  <si>
    <t>A-203</t>
  </si>
  <si>
    <t>F-1503</t>
  </si>
  <si>
    <t>A-1002</t>
  </si>
  <si>
    <t>A-401</t>
  </si>
  <si>
    <t>B-1401</t>
  </si>
  <si>
    <t>E-1402</t>
  </si>
  <si>
    <t>F-1702</t>
  </si>
  <si>
    <t>F-1802</t>
  </si>
  <si>
    <t>A-503</t>
  </si>
  <si>
    <t>B-1502</t>
  </si>
  <si>
    <t>D-702</t>
  </si>
  <si>
    <t>E-902</t>
  </si>
  <si>
    <t>C-101</t>
  </si>
  <si>
    <t>B-702</t>
  </si>
  <si>
    <t>B-1703</t>
  </si>
  <si>
    <t>B-1403</t>
  </si>
  <si>
    <t>B-102</t>
  </si>
  <si>
    <t>D-102</t>
  </si>
  <si>
    <t>B-1603</t>
  </si>
  <si>
    <t>D-303</t>
  </si>
  <si>
    <t>A-002</t>
  </si>
  <si>
    <t>D-1802</t>
  </si>
  <si>
    <t>B-403</t>
  </si>
  <si>
    <t>B-302</t>
  </si>
  <si>
    <t>C-601</t>
  </si>
  <si>
    <t>D-403</t>
  </si>
  <si>
    <t>Sachin Virmani</t>
  </si>
  <si>
    <t>A-903</t>
  </si>
  <si>
    <t>Prerna Garg &amp; R.C Garg</t>
  </si>
  <si>
    <t>D-703</t>
  </si>
  <si>
    <t>Ashok Kumar Ponniah</t>
  </si>
  <si>
    <t>C-1202</t>
  </si>
  <si>
    <t>Kapil N Vaid</t>
  </si>
  <si>
    <t>A-1102</t>
  </si>
  <si>
    <t>A-402</t>
  </si>
  <si>
    <t>C-301</t>
  </si>
  <si>
    <t>E-202</t>
  </si>
  <si>
    <t>Seema Chaturvedi</t>
  </si>
  <si>
    <t>A-201</t>
  </si>
  <si>
    <t>Mina Chauhan / Push Lata Chauhan</t>
  </si>
  <si>
    <t>C-801</t>
  </si>
  <si>
    <t>Vinod Kumar Bapna</t>
  </si>
  <si>
    <t>A-803</t>
  </si>
  <si>
    <t>Rajan Rakheja</t>
  </si>
  <si>
    <t>E-1602</t>
  </si>
  <si>
    <t>Bijender Malik</t>
  </si>
  <si>
    <t>B-303</t>
  </si>
  <si>
    <t>Surender Kumar &amp; Savita Devi</t>
  </si>
  <si>
    <t>C-002</t>
  </si>
  <si>
    <t>F-1602</t>
  </si>
  <si>
    <t>Kuljit Singh Sethi</t>
  </si>
  <si>
    <t>G-803, G-1003</t>
  </si>
  <si>
    <t>Other</t>
  </si>
  <si>
    <t>FORM D - CLAIMS BY WORKERS AND EMPLOYEES</t>
  </si>
  <si>
    <t>FORM - B  CLAIMS FILED BY OPERATIONAL CREDITOR OTHER THAN WORKERS &amp; EMPLOYESS</t>
  </si>
  <si>
    <t>Other claim</t>
  </si>
  <si>
    <t>As per Books</t>
  </si>
  <si>
    <t>C-1601</t>
  </si>
  <si>
    <t>Claim verified</t>
  </si>
  <si>
    <t>Under verification</t>
  </si>
  <si>
    <t>S.No.</t>
  </si>
  <si>
    <t>TOTAL</t>
  </si>
  <si>
    <t>S. No.</t>
  </si>
  <si>
    <t>Name of Financial Creditor</t>
  </si>
  <si>
    <t>Address of Financial Creditor</t>
  </si>
  <si>
    <t>Whether Related Party, if yes, Nature of Relation</t>
  </si>
  <si>
    <t>Claim Principal</t>
  </si>
  <si>
    <t>Interest Claim</t>
  </si>
  <si>
    <t>Total Amount Claimed</t>
  </si>
  <si>
    <t>Principal Verified/Amount Verified</t>
  </si>
  <si>
    <t>Interest admitted at the rate of 8%</t>
  </si>
  <si>
    <t>Voting Share</t>
  </si>
  <si>
    <t>Security Interest if any</t>
  </si>
  <si>
    <t>Secured Financial Creditors</t>
  </si>
  <si>
    <t xml:space="preserve">Yes Bank </t>
  </si>
  <si>
    <t>48, Nyaya Marg, Chanakya Puri, New Delhi-110021</t>
  </si>
  <si>
    <t>Phoenix ARC Private Limited</t>
  </si>
  <si>
    <t>5th Floor, Dani Corporate Park, 158, CST Road, Kalina, Santacruz (E), Mumbai-400098</t>
  </si>
  <si>
    <t>HDFC LIMITED</t>
  </si>
  <si>
    <t>The Capital Court, Ol of Palme Marg, Outer Ring Road, Munirka, Delhi-110067</t>
  </si>
  <si>
    <t>Unsecured Financial Creditors</t>
  </si>
  <si>
    <t xml:space="preserve">Abhay Kumar
(Authorized Representative for the class of Home Buyers)
</t>
  </si>
  <si>
    <t>Home Buyers being related party (without voting rights)</t>
  </si>
  <si>
    <t>FINANCIAL CREDITOR</t>
  </si>
  <si>
    <t>Name of Home Buyer</t>
  </si>
  <si>
    <t xml:space="preserve">Project Details  </t>
  </si>
  <si>
    <t>Amount admitted excluding service tax (Anurag)</t>
  </si>
  <si>
    <t>Date of Flat Buyer Agreement (DD/MM/YYYY)</t>
  </si>
  <si>
    <t>Date of Possession   (Clause 4.1: within 6 months after the expiry of 36 months from the date of execution flat buyers agreement)</t>
  </si>
  <si>
    <t>Date of CIRP</t>
  </si>
  <si>
    <t>No of Days for Calculating Interest (from the date of possession to date of CIRP)</t>
  </si>
  <si>
    <t>Interest Amount @8 %(Anuraag)</t>
  </si>
  <si>
    <t>Total Admitted Amount (Principal+Interest)(Anuraag)</t>
  </si>
  <si>
    <t>Book value as per Tally</t>
  </si>
  <si>
    <t>Amount as per Receipt</t>
  </si>
  <si>
    <t>Interest as per receipt</t>
  </si>
  <si>
    <t>Ashish Bhatia &amp; Manila Bhatia</t>
  </si>
  <si>
    <t>C-1203</t>
  </si>
  <si>
    <t xml:space="preserve"> D-1202</t>
  </si>
  <si>
    <t>Balvinder Kaur &amp; Kuldip Singh Virdi</t>
  </si>
  <si>
    <t>Bapi Datta / Anamika Datta</t>
  </si>
  <si>
    <t>Chandra Pratap Singh / Manoj Kumar / Vishal Verma</t>
  </si>
  <si>
    <t>Chetan Agarwal</t>
  </si>
  <si>
    <t>G-1401 E-1701</t>
  </si>
  <si>
    <t>Devinder Kumar &amp; Usha Gupta</t>
  </si>
  <si>
    <t>Dinesh Kumar Jindal</t>
  </si>
  <si>
    <t>G. Thiagarajan &amp; T. Shanthi</t>
  </si>
  <si>
    <t>Gopal Krishna &amp; Asha Rani</t>
  </si>
  <si>
    <t>Gagan Agrawal &amp; Ruchi Agarwal</t>
  </si>
  <si>
    <t>Harpreet Singh Sethi &amp; Narinder Singh Sethi</t>
  </si>
  <si>
    <t>Ishwar Anand Yadav &amp; Suman Yadav</t>
  </si>
  <si>
    <t>A-601</t>
  </si>
  <si>
    <t>Jogesh Sahni &amp; Monica Sahni</t>
  </si>
  <si>
    <t>Kishan Kumar  Gupta &amp; Mithlesh Gupta</t>
  </si>
  <si>
    <t>Manab Dutta &amp; Jayati Dutta</t>
  </si>
  <si>
    <t>Manvdeep Singh</t>
  </si>
  <si>
    <t>Madhu Mishra &amp; Chandra Shekhar Mishra &amp; Jay Prakash Mishra</t>
  </si>
  <si>
    <t>Manoj Kumar &amp; Manvi Kumar</t>
  </si>
  <si>
    <t>Narinder Sharawat</t>
  </si>
  <si>
    <t>Naresh Kumar Talwar &amp; Ritu Talwar</t>
  </si>
  <si>
    <t>F-1403</t>
  </si>
  <si>
    <t>A-103</t>
  </si>
  <si>
    <t>Rajesh Choudhary &amp; Ram Singh Choudhary</t>
  </si>
  <si>
    <t>Ravi Kothari &amp; Sohan Lal Kothari</t>
  </si>
  <si>
    <t>Rajeev Aggarwal &amp; Amita Aggrawal</t>
  </si>
  <si>
    <t>Rakesh Kumar Mehta</t>
  </si>
  <si>
    <t>Rahul Arora &amp; Saroj Arora</t>
  </si>
  <si>
    <t>Ritu Kapoor, Munish Mehta &amp; Saurabh Arora</t>
  </si>
  <si>
    <t>C-302</t>
  </si>
  <si>
    <t xml:space="preserve">Rakesh Gangadhar &amp; Kusam Bala, </t>
  </si>
  <si>
    <t>S Shankar</t>
  </si>
  <si>
    <t>Sunil Kumar Bhat &amp; Anita Bhat</t>
  </si>
  <si>
    <t>Sunil Arora</t>
  </si>
  <si>
    <t>F-1701 &amp; G-1601</t>
  </si>
  <si>
    <t xml:space="preserve">Sunil Trehun &amp; V.K Trehun, </t>
  </si>
  <si>
    <t>Shishir Agarwal &amp; Ankita Agarwal</t>
  </si>
  <si>
    <t>Shalini Bawa Anand &amp; Vishal Anand</t>
  </si>
  <si>
    <t>B-203</t>
  </si>
  <si>
    <t>Veena Gupta</t>
  </si>
  <si>
    <t>Kailash Kumari &amp; Tulsi Dass Saluja</t>
  </si>
  <si>
    <t>Arun Kharb &amp; Mrs. Sarita Sangwan</t>
  </si>
  <si>
    <t>G-602</t>
  </si>
  <si>
    <t>A-1502</t>
  </si>
  <si>
    <t>Manoj Rajpal &amp; Mrs. Nisha Rajpal</t>
  </si>
  <si>
    <t>Sangeeta Arya</t>
  </si>
  <si>
    <t>Ms. Poonam Munjal &amp; Prem Munjal</t>
  </si>
  <si>
    <t>C-1703</t>
  </si>
  <si>
    <t>Mr. Aditya Mehta</t>
  </si>
  <si>
    <t>C-103</t>
  </si>
  <si>
    <t>Mr. Sandeep Maurya</t>
  </si>
  <si>
    <t>Mr. Sanjay Kumar Sehgal</t>
  </si>
  <si>
    <t>Mrs. Anita Yadav</t>
  </si>
  <si>
    <t>Mrs. Bina Ramani Kewal</t>
  </si>
  <si>
    <t>F-1201</t>
  </si>
  <si>
    <t>Mr. Sandeep Garg/Ranjana</t>
  </si>
  <si>
    <t>Ms. Shikha Trehan</t>
  </si>
  <si>
    <t>D-802</t>
  </si>
  <si>
    <t>Mr. Abhishek Dhingra</t>
  </si>
  <si>
    <t>D-402</t>
  </si>
  <si>
    <t xml:space="preserve">C-903 </t>
  </si>
  <si>
    <t xml:space="preserve">Mallika Batra &amp; Charanjeev Batra </t>
  </si>
  <si>
    <t xml:space="preserve">G-501 </t>
  </si>
  <si>
    <t xml:space="preserve">Sanjay Gupta </t>
  </si>
  <si>
    <t xml:space="preserve">B-1202 </t>
  </si>
  <si>
    <t xml:space="preserve">E-1702 </t>
  </si>
  <si>
    <t xml:space="preserve">C-1603 </t>
  </si>
  <si>
    <t xml:space="preserve">Rajesh Jain </t>
  </si>
  <si>
    <t xml:space="preserve">D-803 </t>
  </si>
  <si>
    <t xml:space="preserve">Sumeet Dhiman &amp; Vineeta Dhiman </t>
  </si>
  <si>
    <t xml:space="preserve">C- 1103 </t>
  </si>
  <si>
    <t>Ajit Singh Sethi</t>
  </si>
  <si>
    <t xml:space="preserve">C- 703 </t>
  </si>
  <si>
    <t xml:space="preserve">A-702  </t>
  </si>
  <si>
    <t xml:space="preserve">B-902  </t>
  </si>
  <si>
    <t xml:space="preserve">G-1102  </t>
  </si>
  <si>
    <t xml:space="preserve">G-1103  </t>
  </si>
  <si>
    <t xml:space="preserve">G-1201  </t>
  </si>
  <si>
    <t>Himanshu Aggarwal</t>
  </si>
  <si>
    <t xml:space="preserve">C-1503  </t>
  </si>
  <si>
    <t>Sanjay Jain</t>
  </si>
  <si>
    <t xml:space="preserve">E-1603  </t>
  </si>
  <si>
    <t xml:space="preserve">E-703  </t>
  </si>
  <si>
    <t>Gurmukh S Asnani</t>
  </si>
  <si>
    <t xml:space="preserve">B-802  </t>
  </si>
  <si>
    <t>Dwijinder Parkash/mohinder Parkash</t>
  </si>
  <si>
    <t xml:space="preserve">E-201  </t>
  </si>
  <si>
    <t>Abhinay Vaidya/ Madhu Vaidya</t>
  </si>
  <si>
    <t xml:space="preserve">D-1003  </t>
  </si>
  <si>
    <t>Nisha Rani Bansal/satish Chander</t>
  </si>
  <si>
    <t xml:space="preserve">C-501  </t>
  </si>
  <si>
    <t>Kirti Nidhi Vig</t>
  </si>
  <si>
    <t xml:space="preserve">B-601  </t>
  </si>
  <si>
    <t xml:space="preserve">D-503  </t>
  </si>
  <si>
    <t>Zara Buildcon Pvt Ltd</t>
  </si>
  <si>
    <t xml:space="preserve">A-703  </t>
  </si>
  <si>
    <t>Arun Kumar Puri</t>
  </si>
  <si>
    <t xml:space="preserve">D-603  </t>
  </si>
  <si>
    <t>Shahab Rizvi /Raj Deepak Varshney</t>
  </si>
  <si>
    <t xml:space="preserve">E-602  </t>
  </si>
  <si>
    <t>Lubna Rehman and Mafzur Rehman</t>
  </si>
  <si>
    <t xml:space="preserve">A-603  </t>
  </si>
  <si>
    <t>Munish Dayal Mathur</t>
  </si>
  <si>
    <t xml:space="preserve">C-701  </t>
  </si>
  <si>
    <t>Joy Realtors Pvt.Ltd</t>
  </si>
  <si>
    <t xml:space="preserve">F-503  </t>
  </si>
  <si>
    <t xml:space="preserve">B-901  </t>
  </si>
  <si>
    <t xml:space="preserve">B-603  </t>
  </si>
  <si>
    <t>Shailesh Kant Sharma</t>
  </si>
  <si>
    <t xml:space="preserve">C-402  </t>
  </si>
  <si>
    <t xml:space="preserve">B-801  </t>
  </si>
  <si>
    <t>Rahul Nahar</t>
  </si>
  <si>
    <t xml:space="preserve">C-1501  </t>
  </si>
  <si>
    <t>Kusum Garg</t>
  </si>
  <si>
    <t xml:space="preserve">F-202  </t>
  </si>
  <si>
    <t>Mohammad Umer Ansari</t>
  </si>
  <si>
    <t xml:space="preserve">A-901  </t>
  </si>
  <si>
    <t>Manisha Sachdeva/ Sabrina Sachdeva</t>
  </si>
  <si>
    <t xml:space="preserve">B-1702  </t>
  </si>
  <si>
    <t>Vipul Sharma</t>
  </si>
  <si>
    <t xml:space="preserve">F-602  </t>
  </si>
  <si>
    <t>Sanjay Kumar</t>
  </si>
  <si>
    <t xml:space="preserve">G-1202  </t>
  </si>
  <si>
    <t>Babulal Swami &amp; Kanta Devi</t>
  </si>
  <si>
    <t xml:space="preserve">B-202  </t>
  </si>
  <si>
    <t>Tilak Raj Ganga Ram /pushpa Tilakraj</t>
  </si>
  <si>
    <t xml:space="preserve">F-902  </t>
  </si>
  <si>
    <t xml:space="preserve">F-903  </t>
  </si>
  <si>
    <t>Santokh Singh Ent.P.Ltd.</t>
  </si>
  <si>
    <t xml:space="preserve">C-702  </t>
  </si>
  <si>
    <t>Naresh Kumar Tilak Raj Bahri</t>
  </si>
  <si>
    <t xml:space="preserve">F-802  </t>
  </si>
  <si>
    <t>Sanjiv Ramesh Kochhar</t>
  </si>
  <si>
    <t xml:space="preserve">F-803  </t>
  </si>
  <si>
    <t xml:space="preserve">B-1103  </t>
  </si>
  <si>
    <t xml:space="preserve">Godawri Capital Private Limited </t>
  </si>
  <si>
    <t>G-1801</t>
  </si>
  <si>
    <t>UNDER VERIFICATION</t>
  </si>
  <si>
    <t>Sawallka Autotech Private Limited</t>
  </si>
  <si>
    <t>A-1801</t>
  </si>
  <si>
    <t>Total Claims as per IRP</t>
  </si>
  <si>
    <t>C-502</t>
  </si>
  <si>
    <t>A-1603</t>
  </si>
  <si>
    <t>C-802</t>
  </si>
  <si>
    <t xml:space="preserve">Mrs. Sheekha Gupta </t>
  </si>
  <si>
    <t xml:space="preserve">Mrs. Usha Devi </t>
  </si>
  <si>
    <t xml:space="preserve">Mr. Kavin Gupta </t>
  </si>
  <si>
    <t>Karuna Sharma &amp; Vinod Sharma</t>
  </si>
  <si>
    <t>Naveen Kumar &amp; Varun Dhar</t>
  </si>
  <si>
    <t>C-901</t>
  </si>
  <si>
    <t>Shubhash Gumber</t>
  </si>
  <si>
    <t>New Claims</t>
  </si>
  <si>
    <t>Total Claims till Date</t>
  </si>
  <si>
    <t>Related Parties</t>
  </si>
  <si>
    <t>Gayatree Anand &amp; Renu Anand</t>
  </si>
  <si>
    <t>Tason Holdings Pvt. Ltd</t>
  </si>
  <si>
    <t>Grand Total</t>
  </si>
  <si>
    <t>In crore</t>
  </si>
  <si>
    <t>Kushagra Katariya (Through his authorised power of attorney Mr. Gurmeet Singh Baweja) - Purchased flat from Golden Realtors</t>
  </si>
  <si>
    <t>B-903, D-502</t>
  </si>
  <si>
    <t>Amount Under Verification</t>
  </si>
  <si>
    <t>B-101</t>
  </si>
  <si>
    <t>Rajbir Singh Yadav</t>
  </si>
  <si>
    <t>Difference (Amount Under Verification)</t>
  </si>
  <si>
    <t>Devinder Singh</t>
  </si>
  <si>
    <t>C-1201</t>
  </si>
  <si>
    <t>Gopal Krishan</t>
  </si>
  <si>
    <t>A-1401</t>
  </si>
  <si>
    <t>C-603</t>
  </si>
  <si>
    <t>F-201</t>
  </si>
  <si>
    <t>E-502</t>
  </si>
  <si>
    <t>Rahul Gupta</t>
  </si>
  <si>
    <t>A-1003</t>
  </si>
  <si>
    <t>B-003</t>
  </si>
  <si>
    <t>Claim Verified(including Service tax)</t>
  </si>
  <si>
    <t>Claim Verified(excluding Service tax)</t>
  </si>
  <si>
    <t>F-302</t>
  </si>
  <si>
    <t>Som Prakash Bishnoi</t>
  </si>
  <si>
    <t xml:space="preserve"> Mr. Lokesh Yadav &amp; Suman Keshav Katoch</t>
  </si>
  <si>
    <t>B - 701</t>
  </si>
  <si>
    <t>Claim as per us</t>
  </si>
  <si>
    <t>Interest @ 8% as per us</t>
  </si>
  <si>
    <t>Harshinder Singh / Radhika Singh</t>
  </si>
  <si>
    <t>Lalit Kumar Aggarwal</t>
  </si>
  <si>
    <t>Asst. Commisioner of  commercial Taxes audit 5--6 , banglore</t>
  </si>
  <si>
    <t>O/o DGSTO-V, VTK-2, "B" block, room no. 504, 5th floor, near NGV, KORAMANGALA , BANGLORE-560047</t>
  </si>
  <si>
    <t>Rajinder Kumar Arora &amp; Om Prakash Arora</t>
  </si>
  <si>
    <t>FORM - B  CLAIMS FILED BY STATUTORY AUTHORITY</t>
  </si>
  <si>
    <t xml:space="preserve">                                                           </t>
  </si>
  <si>
    <t>Shakti Singh Kalan/Sq Ldr. Sunita Singhadia</t>
  </si>
  <si>
    <t>H.NO.1/619,Surendra Nagar,
Aligarh U.P.</t>
  </si>
  <si>
    <t>Amount not verified</t>
  </si>
  <si>
    <t>Principal Claimed (Rs.)</t>
  </si>
  <si>
    <t xml:space="preserve">                     -</t>
  </si>
  <si>
    <t>Amount under verification</t>
  </si>
  <si>
    <t>36/1,krishna Nagar(bagu) NH- 24, Ghaziabad- 201009.</t>
  </si>
  <si>
    <t>No. 15, Flat No. B3, Kumar Residency, 3rd Floor, 6th Floor, Adarsh Nagar, Kaval Byrasandra, RT Nagar Post Bangalore, 560032.</t>
  </si>
  <si>
    <t>D-226-a, Canal View Enclave, Southern by Pass, Bulara, Ludhiana, Punjab</t>
  </si>
  <si>
    <t>Flat No.104 , Tower D, Satyam Apartment, Swastik Vihar, Zirakpur, Mohali, Punjab - 140603</t>
  </si>
  <si>
    <t>#23, Christ Home Opp to ECI Church Borewell Road, Annasandrapalya, Hal Post, Bangalore 560017</t>
  </si>
  <si>
    <t>Flat No. F-2, Plot No. - 89, Sector 6, Vaishali, Ghaziabad - 201012</t>
  </si>
  <si>
    <t>Claim not verified</t>
  </si>
  <si>
    <t>Interest Verified</t>
  </si>
  <si>
    <t>Gaurav Saxena/Roopa Saxena</t>
  </si>
  <si>
    <t>Amount verified by RP from Claim Documents &amp; from Books of Accounts</t>
  </si>
  <si>
    <t xml:space="preserve">Apogee Manufacturing Private Limited </t>
  </si>
  <si>
    <t>K-1/12, Chittaranjan Park, New Delhi-110019</t>
  </si>
  <si>
    <t>Yet to be verified</t>
  </si>
  <si>
    <t>TOTAL OF HOMEBUYER CLAIM</t>
  </si>
  <si>
    <t>TOTAL OF ALL CLAIM</t>
  </si>
  <si>
    <t>Total for voting share</t>
  </si>
  <si>
    <t>Defective Claim</t>
  </si>
  <si>
    <t>Amount verified as per documents attached by claiment</t>
  </si>
  <si>
    <t>Interest not verified</t>
  </si>
  <si>
    <t>Principal Claim not verified</t>
  </si>
  <si>
    <t>Interest/other Claim not verified</t>
  </si>
  <si>
    <t>Plot No. C-40, Site –C, Surajpur Industrial Area,Greater Noida, Gautam Budh Nagar, Uttar Pradesh-201306
                     OR
Windsor, 7th Floor, C.S.T Road, Near Kalina, Santacruz, Mumbai
                     OR
305, Laxami Niwas Apartment, Amreepet, Hyderabad</t>
  </si>
  <si>
    <t>AS per CD no outstanding. Fake signature on agreement.</t>
  </si>
  <si>
    <t>Reason for non verification</t>
  </si>
  <si>
    <t>Based on the documents submitted , the amount has been verified. No agreement of interest provided by the claimant.</t>
  </si>
  <si>
    <t>Invoices submitted by the claimant along with claim forms are not verified by the CD.</t>
  </si>
  <si>
    <t xml:space="preserve">Claimaint has claimed TDS  which is already deposited by company.
</t>
  </si>
  <si>
    <t>Partial Claim is for other projects/companies of same group.</t>
  </si>
  <si>
    <t>The invoces attached with the Claim are in the name of Tirath Ram , Contractor , who has already filed separate claim.</t>
  </si>
  <si>
    <t xml:space="preserve">Only Performa Invoice of claim amount provided. </t>
  </si>
  <si>
    <t>The claimant has not provided copy of demand notice and copy of order .</t>
  </si>
  <si>
    <t xml:space="preserve">Claimant has wrongly filed claim  in Form B. Revised claim received as homebuyer. </t>
  </si>
  <si>
    <t xml:space="preserve">Claimant has wrongly filed claim  in Form B. </t>
  </si>
  <si>
    <t xml:space="preserve">Claimant has to recover  from some  other company. </t>
  </si>
  <si>
    <t>Legal fees of advocate and interest not verified.</t>
  </si>
  <si>
    <t>Documents substantiating the claim not attached with claim form.</t>
  </si>
  <si>
    <t xml:space="preserve">
As per books there is nothing outstanding. Claim dopcuments does not substantiate claim.</t>
  </si>
  <si>
    <t>Payment made against claimed amount.</t>
  </si>
  <si>
    <t>As per CD nothing is payable. Proof for the same awaited from CD</t>
  </si>
  <si>
    <t>Agreement for interest not attached with claim form.</t>
  </si>
  <si>
    <t>Reasons for non verification</t>
  </si>
  <si>
    <t>Amount Verfied by RP (Principal + Interest @8% on receipt basis) excluding service tax</t>
  </si>
  <si>
    <t>Amount under Verification</t>
  </si>
  <si>
    <r>
      <t xml:space="preserve">Unit No. 1116, 11th Floor, WTT, Sector-16, Noida
</t>
    </r>
    <r>
      <rPr>
        <b/>
        <sz val="11"/>
        <color theme="1"/>
        <rFont val="Cambria"/>
        <family val="1"/>
        <scheme val="major"/>
      </rPr>
      <t xml:space="preserve">OR
</t>
    </r>
    <r>
      <rPr>
        <sz val="11"/>
        <color theme="1"/>
        <rFont val="Cambria"/>
        <family val="1"/>
        <scheme val="major"/>
      </rPr>
      <t>B-18, 1st floor, defense colony, New delhi-- 110024</t>
    </r>
  </si>
  <si>
    <t>Rohit Sharma</t>
  </si>
  <si>
    <t>C-1602</t>
  </si>
</sst>
</file>

<file path=xl/styles.xml><?xml version="1.0" encoding="utf-8"?>
<styleSheet xmlns="http://schemas.openxmlformats.org/spreadsheetml/2006/main">
  <numFmts count="9">
    <numFmt numFmtId="41" formatCode="_(* #,##0_);_(* \(#,##0\);_(* &quot;-&quot;_);_(@_)"/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_-* #,##0.00_-;\-* #,##0.00_-;_-* &quot;-&quot;??_-;_-@_-"/>
    <numFmt numFmtId="167" formatCode="_-* #,##0_-;\-* #,##0_-;_-* &quot;-&quot;??_-;_-@_-"/>
    <numFmt numFmtId="168" formatCode="_-* #,##0.0_-;\-* #,##0.0_-;_-* &quot;-&quot;??_-;_-@_-"/>
    <numFmt numFmtId="169" formatCode="#,##0.0"/>
    <numFmt numFmtId="170" formatCode="mm/dd/yy;@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name val="Cambria"/>
      <family val="1"/>
      <scheme val="major"/>
    </font>
    <font>
      <sz val="12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u/>
      <sz val="11"/>
      <color theme="10"/>
      <name val="Cambria"/>
      <family val="1"/>
      <scheme val="major"/>
    </font>
    <font>
      <sz val="12"/>
      <color rgb="FF000000"/>
      <name val="Cambria"/>
      <family val="1"/>
      <scheme val="major"/>
    </font>
    <font>
      <sz val="11"/>
      <color rgb="FF000000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1"/>
      <color rgb="FFFF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>
      <alignment vertical="top"/>
    </xf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3" fillId="0" borderId="0">
      <alignment vertical="top"/>
    </xf>
    <xf numFmtId="0" fontId="4" fillId="0" borderId="0"/>
    <xf numFmtId="0" fontId="1" fillId="0" borderId="0"/>
  </cellStyleXfs>
  <cellXfs count="235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168" fontId="7" fillId="0" borderId="1" xfId="7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67" fontId="9" fillId="0" borderId="1" xfId="7" applyNumberFormat="1" applyFont="1" applyBorder="1" applyAlignment="1">
      <alignment horizontal="right" vertical="center"/>
    </xf>
    <xf numFmtId="168" fontId="7" fillId="0" borderId="1" xfId="7" applyNumberFormat="1" applyFont="1" applyBorder="1" applyAlignment="1">
      <alignment horizontal="right" vertical="center"/>
    </xf>
    <xf numFmtId="167" fontId="7" fillId="0" borderId="1" xfId="7" applyNumberFormat="1" applyFont="1" applyBorder="1" applyAlignment="1">
      <alignment horizontal="right" vertical="center"/>
    </xf>
    <xf numFmtId="10" fontId="7" fillId="0" borderId="23" xfId="7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/>
    <xf numFmtId="0" fontId="7" fillId="0" borderId="0" xfId="0" applyFont="1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67" fontId="9" fillId="0" borderId="1" xfId="4" applyNumberFormat="1" applyFont="1" applyBorder="1" applyAlignment="1">
      <alignment horizontal="right" vertical="center"/>
    </xf>
    <xf numFmtId="167" fontId="7" fillId="0" borderId="1" xfId="4" applyNumberFormat="1" applyFont="1" applyBorder="1" applyAlignment="1">
      <alignment horizontal="right" vertical="center"/>
    </xf>
    <xf numFmtId="167" fontId="11" fillId="0" borderId="1" xfId="4" applyNumberFormat="1" applyFont="1" applyFill="1" applyBorder="1" applyAlignment="1">
      <alignment horizontal="right" vertical="center"/>
    </xf>
    <xf numFmtId="167" fontId="7" fillId="0" borderId="1" xfId="4" applyNumberFormat="1" applyFont="1" applyBorder="1" applyAlignment="1">
      <alignment horizontal="center" vertical="center"/>
    </xf>
    <xf numFmtId="168" fontId="7" fillId="0" borderId="1" xfId="4" applyNumberFormat="1" applyFont="1" applyBorder="1" applyAlignment="1">
      <alignment vertical="center" wrapText="1"/>
    </xf>
    <xf numFmtId="10" fontId="7" fillId="0" borderId="23" xfId="4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8" fontId="7" fillId="0" borderId="1" xfId="4" applyNumberFormat="1" applyFont="1" applyBorder="1" applyAlignment="1">
      <alignment horizontal="right" vertical="center"/>
    </xf>
    <xf numFmtId="168" fontId="7" fillId="0" borderId="1" xfId="4" applyNumberFormat="1" applyFont="1" applyBorder="1" applyAlignment="1">
      <alignment horizontal="center" vertical="center" wrapText="1"/>
    </xf>
    <xf numFmtId="167" fontId="12" fillId="0" borderId="1" xfId="4" applyNumberFormat="1" applyFont="1" applyBorder="1" applyAlignment="1">
      <alignment horizontal="right" vertical="center"/>
    </xf>
    <xf numFmtId="10" fontId="10" fillId="0" borderId="1" xfId="4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3" fillId="0" borderId="1" xfId="3" applyFont="1" applyBorder="1" applyAlignment="1" applyProtection="1">
      <alignment horizontal="center" vertical="center"/>
    </xf>
    <xf numFmtId="0" fontId="7" fillId="0" borderId="10" xfId="0" applyFont="1" applyBorder="1" applyAlignment="1">
      <alignment horizontal="center" vertical="center"/>
    </xf>
    <xf numFmtId="167" fontId="10" fillId="0" borderId="11" xfId="4" applyNumberFormat="1" applyFont="1" applyBorder="1" applyAlignment="1">
      <alignment horizontal="right" vertical="center"/>
    </xf>
    <xf numFmtId="10" fontId="10" fillId="0" borderId="26" xfId="4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9" fillId="0" borderId="11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/>
    </xf>
    <xf numFmtId="167" fontId="9" fillId="0" borderId="11" xfId="4" applyNumberFormat="1" applyFont="1" applyFill="1" applyBorder="1" applyAlignment="1">
      <alignment horizontal="right" vertical="center"/>
    </xf>
    <xf numFmtId="167" fontId="7" fillId="0" borderId="11" xfId="4" applyNumberFormat="1" applyFont="1" applyBorder="1" applyAlignment="1">
      <alignment vertical="center" wrapText="1"/>
    </xf>
    <xf numFmtId="167" fontId="7" fillId="0" borderId="11" xfId="0" applyNumberFormat="1" applyFont="1" applyBorder="1" applyAlignment="1">
      <alignment vertical="center"/>
    </xf>
    <xf numFmtId="167" fontId="11" fillId="0" borderId="11" xfId="4" applyNumberFormat="1" applyFont="1" applyBorder="1" applyAlignment="1">
      <alignment horizontal="center" vertical="center" wrapText="1"/>
    </xf>
    <xf numFmtId="10" fontId="7" fillId="0" borderId="26" xfId="4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67" fontId="10" fillId="0" borderId="6" xfId="4" applyNumberFormat="1" applyFont="1" applyBorder="1" applyAlignment="1">
      <alignment horizontal="right" vertical="center"/>
    </xf>
    <xf numFmtId="167" fontId="10" fillId="0" borderId="6" xfId="4" applyNumberFormat="1" applyFont="1" applyBorder="1" applyAlignment="1">
      <alignment horizontal="right" vertical="center" wrapText="1"/>
    </xf>
    <xf numFmtId="167" fontId="10" fillId="0" borderId="5" xfId="4" applyNumberFormat="1" applyFont="1" applyBorder="1" applyAlignment="1">
      <alignment horizontal="right" vertical="center"/>
    </xf>
    <xf numFmtId="167" fontId="10" fillId="0" borderId="6" xfId="4" applyNumberFormat="1" applyFont="1" applyBorder="1" applyAlignment="1">
      <alignment horizontal="center" vertical="center"/>
    </xf>
    <xf numFmtId="10" fontId="10" fillId="0" borderId="6" xfId="4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167" fontId="7" fillId="0" borderId="0" xfId="0" applyNumberFormat="1" applyFont="1"/>
    <xf numFmtId="0" fontId="7" fillId="0" borderId="0" xfId="0" applyFont="1" applyBorder="1"/>
    <xf numFmtId="0" fontId="14" fillId="0" borderId="0" xfId="0" applyFont="1" applyBorder="1" applyAlignment="1">
      <alignment vertical="top" wrapText="1"/>
    </xf>
    <xf numFmtId="4" fontId="14" fillId="0" borderId="0" xfId="0" applyNumberFormat="1" applyFont="1" applyBorder="1"/>
    <xf numFmtId="166" fontId="7" fillId="0" borderId="0" xfId="4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Border="1"/>
    <xf numFmtId="0" fontId="15" fillId="0" borderId="0" xfId="0" applyFont="1" applyBorder="1"/>
    <xf numFmtId="0" fontId="9" fillId="0" borderId="0" xfId="0" applyFont="1" applyBorder="1" applyAlignment="1">
      <alignment horizontal="justify" vertical="top" wrapText="1"/>
    </xf>
    <xf numFmtId="0" fontId="15" fillId="0" borderId="0" xfId="0" applyFont="1" applyBorder="1" applyAlignment="1">
      <alignment vertical="top" wrapText="1"/>
    </xf>
    <xf numFmtId="169" fontId="15" fillId="0" borderId="0" xfId="0" applyNumberFormat="1" applyFont="1" applyBorder="1"/>
    <xf numFmtId="169" fontId="7" fillId="0" borderId="0" xfId="0" applyNumberFormat="1" applyFont="1" applyBorder="1"/>
    <xf numFmtId="4" fontId="15" fillId="0" borderId="0" xfId="0" applyNumberFormat="1" applyFont="1" applyBorder="1" applyAlignment="1">
      <alignment vertical="top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NumberFormat="1" applyFont="1" applyFill="1"/>
    <xf numFmtId="170" fontId="8" fillId="0" borderId="0" xfId="0" applyNumberFormat="1" applyFont="1" applyFill="1"/>
    <xf numFmtId="0" fontId="6" fillId="0" borderId="30" xfId="0" applyFont="1" applyFill="1" applyBorder="1" applyAlignment="1">
      <alignment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1" xfId="0" applyNumberFormat="1" applyFont="1" applyFill="1" applyBorder="1" applyAlignment="1">
      <alignment horizontal="center" vertical="center" wrapText="1"/>
    </xf>
    <xf numFmtId="170" fontId="6" fillId="0" borderId="3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8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/>
    <xf numFmtId="170" fontId="8" fillId="0" borderId="1" xfId="0" applyNumberFormat="1" applyFont="1" applyFill="1" applyBorder="1"/>
    <xf numFmtId="0" fontId="8" fillId="0" borderId="1" xfId="0" applyNumberFormat="1" applyFont="1" applyFill="1" applyBorder="1"/>
    <xf numFmtId="0" fontId="8" fillId="0" borderId="1" xfId="0" applyFont="1" applyFill="1" applyBorder="1"/>
    <xf numFmtId="0" fontId="8" fillId="0" borderId="8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vertical="center"/>
    </xf>
    <xf numFmtId="170" fontId="8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NumberFormat="1" applyFont="1" applyFill="1" applyBorder="1"/>
    <xf numFmtId="170" fontId="8" fillId="0" borderId="11" xfId="0" applyNumberFormat="1" applyFont="1" applyFill="1" applyBorder="1"/>
    <xf numFmtId="14" fontId="8" fillId="0" borderId="11" xfId="0" applyNumberFormat="1" applyFont="1" applyFill="1" applyBorder="1"/>
    <xf numFmtId="0" fontId="8" fillId="0" borderId="2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right" vertical="center"/>
    </xf>
    <xf numFmtId="0" fontId="6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165" fontId="9" fillId="0" borderId="2" xfId="1" applyNumberFormat="1" applyFont="1" applyFill="1" applyBorder="1" applyAlignment="1">
      <alignment vertical="center"/>
    </xf>
    <xf numFmtId="43" fontId="9" fillId="0" borderId="2" xfId="1" applyFont="1" applyFill="1" applyBorder="1" applyAlignment="1">
      <alignment vertical="center"/>
    </xf>
    <xf numFmtId="43" fontId="9" fillId="0" borderId="2" xfId="1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/>
    </xf>
    <xf numFmtId="43" fontId="9" fillId="0" borderId="1" xfId="1" applyFont="1" applyFill="1" applyBorder="1" applyAlignment="1">
      <alignment horizontal="center" vertical="center"/>
    </xf>
    <xf numFmtId="43" fontId="9" fillId="0" borderId="1" xfId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vertical="center" wrapText="1"/>
    </xf>
    <xf numFmtId="43" fontId="17" fillId="0" borderId="1" xfId="1" applyFont="1" applyFill="1" applyBorder="1" applyAlignment="1">
      <alignment vertical="center" wrapText="1"/>
    </xf>
    <xf numFmtId="0" fontId="8" fillId="0" borderId="11" xfId="1" applyNumberFormat="1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center" vertical="center"/>
    </xf>
    <xf numFmtId="165" fontId="9" fillId="0" borderId="11" xfId="1" applyNumberFormat="1" applyFont="1" applyFill="1" applyBorder="1" applyAlignment="1">
      <alignment horizontal="center" vertical="center"/>
    </xf>
    <xf numFmtId="43" fontId="9" fillId="0" borderId="11" xfId="1" applyFont="1" applyFill="1" applyBorder="1" applyAlignment="1">
      <alignment horizontal="center" vertical="center"/>
    </xf>
    <xf numFmtId="43" fontId="9" fillId="0" borderId="11" xfId="1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wrapText="1"/>
    </xf>
    <xf numFmtId="165" fontId="12" fillId="0" borderId="29" xfId="0" applyNumberFormat="1" applyFont="1" applyFill="1" applyBorder="1" applyAlignment="1">
      <alignment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Fill="1" applyBorder="1" applyAlignment="1">
      <alignment wrapText="1"/>
    </xf>
    <xf numFmtId="0" fontId="16" fillId="0" borderId="38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165" fontId="9" fillId="0" borderId="11" xfId="5" applyNumberFormat="1" applyFont="1" applyFill="1" applyBorder="1" applyAlignment="1">
      <alignment horizontal="center" vertical="center"/>
    </xf>
    <xf numFmtId="43" fontId="9" fillId="0" borderId="11" xfId="5" applyFont="1" applyFill="1" applyBorder="1" applyAlignment="1">
      <alignment horizontal="center" vertical="center"/>
    </xf>
    <xf numFmtId="43" fontId="9" fillId="0" borderId="11" xfId="5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12" fillId="0" borderId="0" xfId="0" applyFont="1" applyFill="1" applyAlignment="1"/>
    <xf numFmtId="0" fontId="9" fillId="0" borderId="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9" fillId="0" borderId="15" xfId="0" applyNumberFormat="1" applyFont="1" applyFill="1" applyBorder="1" applyAlignment="1">
      <alignment horizontal="center"/>
    </xf>
    <xf numFmtId="0" fontId="9" fillId="0" borderId="16" xfId="0" applyNumberFormat="1" applyFont="1" applyFill="1" applyBorder="1" applyAlignment="1">
      <alignment horizontal="center"/>
    </xf>
    <xf numFmtId="0" fontId="9" fillId="0" borderId="34" xfId="0" applyNumberFormat="1" applyFont="1" applyFill="1" applyBorder="1" applyAlignment="1">
      <alignment horizontal="center"/>
    </xf>
    <xf numFmtId="0" fontId="12" fillId="0" borderId="4" xfId="2" applyNumberFormat="1" applyFont="1" applyFill="1" applyBorder="1" applyAlignment="1">
      <alignment horizontal="center" vertical="center" wrapText="1"/>
    </xf>
    <xf numFmtId="0" fontId="12" fillId="0" borderId="5" xfId="2" applyNumberFormat="1" applyFont="1" applyFill="1" applyBorder="1" applyAlignment="1">
      <alignment horizontal="center" vertical="center" wrapText="1"/>
    </xf>
    <xf numFmtId="0" fontId="12" fillId="0" borderId="6" xfId="2" applyNumberFormat="1" applyFont="1" applyFill="1" applyBorder="1" applyAlignment="1">
      <alignment horizontal="center" vertical="center" wrapText="1"/>
    </xf>
    <xf numFmtId="0" fontId="12" fillId="0" borderId="7" xfId="2" applyNumberFormat="1" applyFont="1" applyFill="1" applyBorder="1" applyAlignment="1">
      <alignment horizontal="center" vertical="center" wrapText="1"/>
    </xf>
    <xf numFmtId="0" fontId="9" fillId="0" borderId="13" xfId="2" applyNumberFormat="1" applyFont="1" applyFill="1" applyBorder="1" applyAlignment="1">
      <alignment horizontal="center" vertical="center" wrapText="1"/>
    </xf>
    <xf numFmtId="0" fontId="12" fillId="0" borderId="2" xfId="2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 wrapText="1"/>
    </xf>
    <xf numFmtId="43" fontId="9" fillId="0" borderId="2" xfId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0" fontId="9" fillId="0" borderId="33" xfId="2" applyNumberFormat="1" applyFont="1" applyFill="1" applyBorder="1" applyAlignment="1">
      <alignment horizontal="center" vertical="center" wrapText="1"/>
    </xf>
    <xf numFmtId="1" fontId="9" fillId="0" borderId="33" xfId="2" applyNumberFormat="1" applyFont="1" applyFill="1" applyBorder="1" applyAlignment="1">
      <alignment horizontal="center" vertical="center" wrapText="1"/>
    </xf>
    <xf numFmtId="0" fontId="9" fillId="0" borderId="14" xfId="2" applyNumberFormat="1" applyFont="1" applyFill="1" applyBorder="1" applyAlignment="1">
      <alignment horizontal="center" vertical="center" wrapText="1"/>
    </xf>
    <xf numFmtId="0" fontId="9" fillId="0" borderId="8" xfId="2" applyNumberFormat="1" applyFont="1" applyFill="1" applyBorder="1" applyAlignment="1">
      <alignment horizontal="center" vertical="center" wrapText="1"/>
    </xf>
    <xf numFmtId="0" fontId="12" fillId="0" borderId="1" xfId="2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9" fillId="0" borderId="23" xfId="2" applyNumberFormat="1" applyFont="1" applyFill="1" applyBorder="1" applyAlignment="1">
      <alignment horizontal="center" vertical="center" wrapText="1"/>
    </xf>
    <xf numFmtId="1" fontId="9" fillId="0" borderId="23" xfId="2" applyNumberFormat="1" applyFont="1" applyFill="1" applyBorder="1" applyAlignment="1">
      <alignment horizontal="center" vertical="center" wrapText="1"/>
    </xf>
    <xf numFmtId="0" fontId="9" fillId="0" borderId="9" xfId="2" applyNumberFormat="1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 wrapText="1"/>
    </xf>
    <xf numFmtId="0" fontId="9" fillId="0" borderId="3" xfId="2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wrapText="1"/>
    </xf>
    <xf numFmtId="0" fontId="9" fillId="0" borderId="36" xfId="2" applyNumberFormat="1" applyFont="1" applyFill="1" applyBorder="1" applyAlignment="1">
      <alignment horizontal="center" vertical="center" wrapText="1"/>
    </xf>
    <xf numFmtId="43" fontId="9" fillId="0" borderId="23" xfId="2" applyNumberFormat="1" applyFont="1" applyFill="1" applyBorder="1" applyAlignment="1">
      <alignment horizontal="center" vertical="center" wrapText="1"/>
    </xf>
    <xf numFmtId="0" fontId="12" fillId="0" borderId="21" xfId="0" applyNumberFormat="1" applyFont="1" applyFill="1" applyBorder="1" applyAlignment="1">
      <alignment horizontal="center"/>
    </xf>
    <xf numFmtId="0" fontId="12" fillId="0" borderId="22" xfId="2" applyNumberFormat="1" applyFont="1" applyFill="1" applyBorder="1" applyAlignment="1">
      <alignment horizontal="center" vertical="center" wrapText="1"/>
    </xf>
    <xf numFmtId="0" fontId="12" fillId="0" borderId="22" xfId="0" applyNumberFormat="1" applyFont="1" applyFill="1" applyBorder="1" applyAlignment="1">
      <alignment horizontal="center"/>
    </xf>
    <xf numFmtId="165" fontId="12" fillId="0" borderId="22" xfId="1" applyNumberFormat="1" applyFont="1" applyFill="1" applyBorder="1" applyAlignment="1">
      <alignment horizontal="center"/>
    </xf>
    <xf numFmtId="0" fontId="12" fillId="0" borderId="32" xfId="0" applyNumberFormat="1" applyFont="1" applyFill="1" applyBorder="1" applyAlignment="1">
      <alignment horizontal="center"/>
    </xf>
    <xf numFmtId="0" fontId="12" fillId="0" borderId="0" xfId="0" applyNumberFormat="1" applyFont="1" applyFill="1" applyAlignment="1">
      <alignment horizontal="center"/>
    </xf>
    <xf numFmtId="165" fontId="8" fillId="0" borderId="0" xfId="1" applyNumberFormat="1" applyFont="1" applyFill="1" applyAlignment="1">
      <alignment horizontal="center"/>
    </xf>
    <xf numFmtId="165" fontId="6" fillId="0" borderId="3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165" fontId="6" fillId="0" borderId="2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/>
    </xf>
    <xf numFmtId="165" fontId="8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right"/>
    </xf>
    <xf numFmtId="165" fontId="8" fillId="0" borderId="0" xfId="1" applyNumberFormat="1" applyFont="1" applyFill="1"/>
    <xf numFmtId="165" fontId="8" fillId="0" borderId="0" xfId="1" applyNumberFormat="1" applyFont="1" applyFill="1" applyAlignment="1">
      <alignment horizontal="right"/>
    </xf>
    <xf numFmtId="165" fontId="6" fillId="0" borderId="31" xfId="1" applyNumberFormat="1" applyFont="1" applyFill="1" applyBorder="1" applyAlignment="1">
      <alignment horizontal="right" vertical="center" wrapText="1"/>
    </xf>
    <xf numFmtId="165" fontId="8" fillId="0" borderId="1" xfId="1" applyNumberFormat="1" applyFont="1" applyFill="1" applyBorder="1"/>
    <xf numFmtId="165" fontId="8" fillId="0" borderId="1" xfId="1" applyNumberFormat="1" applyFont="1" applyFill="1" applyBorder="1" applyAlignment="1">
      <alignment horizontal="right"/>
    </xf>
    <xf numFmtId="165" fontId="8" fillId="0" borderId="1" xfId="1" applyNumberFormat="1" applyFont="1" applyFill="1" applyBorder="1" applyAlignment="1">
      <alignment vertical="center"/>
    </xf>
    <xf numFmtId="165" fontId="8" fillId="0" borderId="1" xfId="1" applyNumberFormat="1" applyFont="1" applyFill="1" applyBorder="1" applyAlignment="1">
      <alignment horizontal="right" vertical="center"/>
    </xf>
    <xf numFmtId="165" fontId="8" fillId="0" borderId="11" xfId="1" applyNumberFormat="1" applyFont="1" applyFill="1" applyBorder="1"/>
    <xf numFmtId="165" fontId="6" fillId="0" borderId="1" xfId="1" applyNumberFormat="1" applyFont="1" applyFill="1" applyBorder="1" applyAlignment="1">
      <alignment horizontal="right" vertical="center" wrapText="1"/>
    </xf>
    <xf numFmtId="0" fontId="10" fillId="0" borderId="6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10" fillId="0" borderId="37" xfId="0" applyFont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35" xfId="0" applyFont="1" applyBorder="1" applyAlignment="1">
      <alignment horizontal="center" wrapText="1"/>
    </xf>
    <xf numFmtId="0" fontId="10" fillId="0" borderId="26" xfId="0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0" fontId="10" fillId="0" borderId="28" xfId="0" applyFont="1" applyBorder="1" applyAlignment="1">
      <alignment horizontal="center" wrapText="1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wrapText="1"/>
    </xf>
    <xf numFmtId="0" fontId="12" fillId="0" borderId="15" xfId="0" applyFont="1" applyFill="1" applyBorder="1" applyAlignment="1">
      <alignment horizontal="center" wrapText="1"/>
    </xf>
    <xf numFmtId="0" fontId="12" fillId="0" borderId="16" xfId="0" applyFont="1" applyFill="1" applyBorder="1" applyAlignment="1">
      <alignment horizontal="center" wrapText="1"/>
    </xf>
    <xf numFmtId="0" fontId="9" fillId="0" borderId="18" xfId="0" applyFont="1" applyFill="1" applyBorder="1" applyAlignment="1">
      <alignment horizontal="center" wrapText="1"/>
    </xf>
    <xf numFmtId="0" fontId="12" fillId="0" borderId="15" xfId="0" applyNumberFormat="1" applyFont="1" applyFill="1" applyBorder="1" applyAlignment="1">
      <alignment horizontal="center"/>
    </xf>
    <xf numFmtId="0" fontId="12" fillId="0" borderId="16" xfId="0" applyNumberFormat="1" applyFont="1" applyFill="1" applyBorder="1" applyAlignment="1">
      <alignment horizontal="center"/>
    </xf>
    <xf numFmtId="0" fontId="12" fillId="0" borderId="17" xfId="0" applyNumberFormat="1" applyFont="1" applyFill="1" applyBorder="1" applyAlignment="1">
      <alignment horizontal="center"/>
    </xf>
  </cellXfs>
  <cellStyles count="21">
    <cellStyle name="Comma" xfId="1" builtinId="3"/>
    <cellStyle name="Comma 10" xfId="5"/>
    <cellStyle name="Comma 2" xfId="4"/>
    <cellStyle name="Comma 3" xfId="6"/>
    <cellStyle name="Comma 4" xfId="7"/>
    <cellStyle name="Comma 5" xfId="8"/>
    <cellStyle name="Comma 6" xfId="9"/>
    <cellStyle name="Comma 7" xfId="10"/>
    <cellStyle name="Hyperlink" xfId="3" builtinId="8"/>
    <cellStyle name="Normal" xfId="0" builtinId="0"/>
    <cellStyle name="Normal 2" xfId="11"/>
    <cellStyle name="Normal 2 2" xfId="12"/>
    <cellStyle name="Normal 25" xfId="13"/>
    <cellStyle name="Normal 3" xfId="14"/>
    <cellStyle name="Normal 34" xfId="15"/>
    <cellStyle name="Normal 4" xfId="16"/>
    <cellStyle name="Normal 47" xfId="17"/>
    <cellStyle name="Normal 5" xfId="18"/>
    <cellStyle name="Normal 6" xfId="19"/>
    <cellStyle name="Normal 8" xfId="2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36"/>
  <sheetViews>
    <sheetView view="pageBreakPreview" zoomScale="91" zoomScaleNormal="93" zoomScaleSheetLayoutView="91" workbookViewId="0">
      <pane ySplit="3" topLeftCell="A4" activePane="bottomLeft" state="frozen"/>
      <selection pane="bottomLeft" activeCell="K25" sqref="K25"/>
    </sheetView>
  </sheetViews>
  <sheetFormatPr defaultColWidth="8.7109375" defaultRowHeight="15.75"/>
  <cols>
    <col min="1" max="1" width="1.85546875" style="20" customWidth="1"/>
    <col min="2" max="2" width="6.28515625" style="18" customWidth="1"/>
    <col min="3" max="3" width="26.42578125" style="19" customWidth="1"/>
    <col min="4" max="4" width="26.140625" style="20" customWidth="1"/>
    <col min="5" max="5" width="19.5703125" style="18" customWidth="1"/>
    <col min="6" max="8" width="18.28515625" style="20" bestFit="1" customWidth="1"/>
    <col min="9" max="10" width="19.28515625" style="20" hidden="1" customWidth="1"/>
    <col min="11" max="11" width="18.28515625" style="20" bestFit="1" customWidth="1"/>
    <col min="12" max="12" width="17.28515625" style="20" bestFit="1" customWidth="1"/>
    <col min="13" max="13" width="18.42578125" style="20" customWidth="1"/>
    <col min="14" max="14" width="21.140625" style="21" customWidth="1"/>
    <col min="15" max="15" width="10.28515625" style="20" bestFit="1" customWidth="1"/>
    <col min="16" max="16384" width="8.7109375" style="20"/>
  </cols>
  <sheetData>
    <row r="1" spans="2:14" ht="16.5" thickBot="1"/>
    <row r="2" spans="2:14" ht="16.5" thickBot="1">
      <c r="B2" s="219" t="s">
        <v>356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1"/>
    </row>
    <row r="3" spans="2:14" s="27" customFormat="1" ht="90" customHeight="1" thickBot="1">
      <c r="B3" s="22" t="s">
        <v>335</v>
      </c>
      <c r="C3" s="23" t="s">
        <v>336</v>
      </c>
      <c r="D3" s="23" t="s">
        <v>337</v>
      </c>
      <c r="E3" s="23" t="s">
        <v>338</v>
      </c>
      <c r="F3" s="23" t="s">
        <v>339</v>
      </c>
      <c r="G3" s="23" t="s">
        <v>340</v>
      </c>
      <c r="H3" s="23" t="s">
        <v>341</v>
      </c>
      <c r="I3" s="23" t="s">
        <v>342</v>
      </c>
      <c r="J3" s="23" t="s">
        <v>343</v>
      </c>
      <c r="K3" s="2" t="s">
        <v>576</v>
      </c>
      <c r="L3" s="24" t="s">
        <v>532</v>
      </c>
      <c r="M3" s="25" t="s">
        <v>344</v>
      </c>
      <c r="N3" s="26" t="s">
        <v>345</v>
      </c>
    </row>
    <row r="4" spans="2:14">
      <c r="B4" s="213" t="s">
        <v>346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5"/>
    </row>
    <row r="5" spans="2:14" s="36" customFormat="1" ht="28.5">
      <c r="B5" s="28">
        <v>1</v>
      </c>
      <c r="C5" s="29" t="s">
        <v>347</v>
      </c>
      <c r="D5" s="29" t="s">
        <v>348</v>
      </c>
      <c r="E5" s="7" t="s">
        <v>9</v>
      </c>
      <c r="F5" s="30">
        <v>0</v>
      </c>
      <c r="G5" s="31">
        <v>130041738</v>
      </c>
      <c r="H5" s="32">
        <v>130041738</v>
      </c>
      <c r="I5" s="33">
        <v>0</v>
      </c>
      <c r="J5" s="33">
        <v>0</v>
      </c>
      <c r="K5" s="3">
        <v>130041738</v>
      </c>
      <c r="L5" s="34"/>
      <c r="M5" s="35">
        <f>K5/$K$19</f>
        <v>6.2185401434640172E-2</v>
      </c>
      <c r="N5" s="12" t="s">
        <v>245</v>
      </c>
    </row>
    <row r="6" spans="2:14" ht="57">
      <c r="B6" s="4">
        <v>2</v>
      </c>
      <c r="C6" s="29" t="s">
        <v>349</v>
      </c>
      <c r="D6" s="29" t="s">
        <v>350</v>
      </c>
      <c r="E6" s="7" t="s">
        <v>9</v>
      </c>
      <c r="F6" s="30">
        <v>74523018</v>
      </c>
      <c r="G6" s="37">
        <v>128433741</v>
      </c>
      <c r="H6" s="32">
        <f t="shared" ref="H6" si="0">+F6+G6</f>
        <v>202956759</v>
      </c>
      <c r="I6" s="38">
        <v>0</v>
      </c>
      <c r="J6" s="38">
        <v>0</v>
      </c>
      <c r="K6" s="3">
        <v>191555798</v>
      </c>
      <c r="L6" s="34">
        <f>+H6-K6</f>
        <v>11400961</v>
      </c>
      <c r="M6" s="35">
        <f>K6/$K$19</f>
        <v>9.1601161126920974E-2</v>
      </c>
      <c r="N6" s="12" t="s">
        <v>245</v>
      </c>
    </row>
    <row r="7" spans="2:14" ht="57">
      <c r="B7" s="4">
        <v>3</v>
      </c>
      <c r="C7" s="29" t="s">
        <v>351</v>
      </c>
      <c r="D7" s="29" t="s">
        <v>352</v>
      </c>
      <c r="E7" s="7" t="s">
        <v>9</v>
      </c>
      <c r="F7" s="30">
        <v>0</v>
      </c>
      <c r="G7" s="37">
        <v>0</v>
      </c>
      <c r="H7" s="32">
        <v>131825761</v>
      </c>
      <c r="I7" s="38">
        <v>0</v>
      </c>
      <c r="J7" s="38">
        <v>0</v>
      </c>
      <c r="K7" s="3">
        <v>39286849</v>
      </c>
      <c r="L7" s="34">
        <f>+H7-K7</f>
        <v>92538912</v>
      </c>
      <c r="M7" s="35">
        <f>K7/$K$19</f>
        <v>1.8786802712272975E-2</v>
      </c>
      <c r="N7" s="12" t="s">
        <v>245</v>
      </c>
    </row>
    <row r="8" spans="2:14" ht="29.25">
      <c r="B8" s="4">
        <v>4</v>
      </c>
      <c r="C8" s="5" t="s">
        <v>577</v>
      </c>
      <c r="D8" s="6" t="s">
        <v>578</v>
      </c>
      <c r="E8" s="7" t="s">
        <v>9</v>
      </c>
      <c r="F8" s="8">
        <v>20000000</v>
      </c>
      <c r="G8" s="9">
        <v>95342124</v>
      </c>
      <c r="H8" s="10">
        <f>+F8+G8</f>
        <v>115342124</v>
      </c>
      <c r="I8" s="3">
        <v>0</v>
      </c>
      <c r="J8" s="3">
        <v>0</v>
      </c>
      <c r="K8" s="3">
        <f>+H8</f>
        <v>115342124</v>
      </c>
      <c r="L8" s="3">
        <f>+H8-K8</f>
        <v>0</v>
      </c>
      <c r="M8" s="11">
        <f>+K8/K19</f>
        <v>5.5156109058339751E-2</v>
      </c>
      <c r="N8" s="12" t="s">
        <v>245</v>
      </c>
    </row>
    <row r="9" spans="2:14">
      <c r="B9" s="4"/>
      <c r="C9" s="29"/>
      <c r="D9" s="29"/>
      <c r="E9" s="7"/>
      <c r="F9" s="39">
        <f>SUM(F5:F8)</f>
        <v>94523018</v>
      </c>
      <c r="G9" s="39">
        <f t="shared" ref="G9:L9" si="1">SUM(G5:G8)</f>
        <v>353817603</v>
      </c>
      <c r="H9" s="39">
        <f>SUM(H5:H8)</f>
        <v>580166382</v>
      </c>
      <c r="I9" s="39">
        <f t="shared" si="1"/>
        <v>0</v>
      </c>
      <c r="J9" s="39">
        <f t="shared" si="1"/>
        <v>0</v>
      </c>
      <c r="K9" s="39">
        <f t="shared" si="1"/>
        <v>476226509</v>
      </c>
      <c r="L9" s="39">
        <f t="shared" si="1"/>
        <v>103939873</v>
      </c>
      <c r="M9" s="40"/>
      <c r="N9" s="41"/>
    </row>
    <row r="10" spans="2:14">
      <c r="B10" s="225" t="s">
        <v>353</v>
      </c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7"/>
    </row>
    <row r="11" spans="2:14" ht="85.5">
      <c r="B11" s="13" t="s">
        <v>335</v>
      </c>
      <c r="C11" s="14" t="s">
        <v>336</v>
      </c>
      <c r="D11" s="1" t="s">
        <v>337</v>
      </c>
      <c r="E11" s="1" t="s">
        <v>338</v>
      </c>
      <c r="F11" s="1" t="s">
        <v>339</v>
      </c>
      <c r="G11" s="1" t="s">
        <v>340</v>
      </c>
      <c r="H11" s="1" t="s">
        <v>341</v>
      </c>
      <c r="I11" s="1" t="s">
        <v>342</v>
      </c>
      <c r="J11" s="1" t="s">
        <v>343</v>
      </c>
      <c r="K11" s="1" t="s">
        <v>608</v>
      </c>
      <c r="L11" s="15" t="s">
        <v>609</v>
      </c>
      <c r="M11" s="16" t="s">
        <v>344</v>
      </c>
      <c r="N11" s="17" t="s">
        <v>345</v>
      </c>
    </row>
    <row r="12" spans="2:14" ht="71.25">
      <c r="B12" s="4">
        <v>1</v>
      </c>
      <c r="C12" s="42" t="s">
        <v>354</v>
      </c>
      <c r="D12" s="6"/>
      <c r="E12" s="43"/>
      <c r="F12" s="30">
        <f>+'Form CA - Final'!K198</f>
        <v>1214457822.0799999</v>
      </c>
      <c r="G12" s="37">
        <v>710582724.69000006</v>
      </c>
      <c r="H12" s="31">
        <f>+F12+G12</f>
        <v>1925040546.77</v>
      </c>
      <c r="I12" s="34"/>
      <c r="J12" s="34"/>
      <c r="K12" s="31">
        <f>+'Form CA - Final'!S198</f>
        <v>1614967485.0868611</v>
      </c>
      <c r="L12" s="34">
        <v>28431507.519918889</v>
      </c>
      <c r="M12" s="35">
        <f>K12/$K$19</f>
        <v>0.77227052566782617</v>
      </c>
      <c r="N12" s="12" t="s">
        <v>9</v>
      </c>
    </row>
    <row r="13" spans="2:14" ht="16.5" thickBot="1">
      <c r="B13" s="44"/>
      <c r="C13" s="216" t="s">
        <v>334</v>
      </c>
      <c r="D13" s="217"/>
      <c r="E13" s="218"/>
      <c r="F13" s="45">
        <f>+F12</f>
        <v>1214457822.0799999</v>
      </c>
      <c r="G13" s="45">
        <f t="shared" ref="G13:J13" si="2">+G12</f>
        <v>710582724.69000006</v>
      </c>
      <c r="H13" s="45">
        <f t="shared" si="2"/>
        <v>1925040546.77</v>
      </c>
      <c r="I13" s="45">
        <f t="shared" si="2"/>
        <v>0</v>
      </c>
      <c r="J13" s="45">
        <f t="shared" si="2"/>
        <v>0</v>
      </c>
      <c r="K13" s="45">
        <f>+K12</f>
        <v>1614967485.0868611</v>
      </c>
      <c r="L13" s="45">
        <f>L9+L12</f>
        <v>132371380.51991889</v>
      </c>
      <c r="M13" s="46">
        <f>SUM(M5:M8)+M12</f>
        <v>1</v>
      </c>
      <c r="N13" s="47"/>
    </row>
    <row r="14" spans="2:14" ht="15.75" customHeight="1">
      <c r="B14" s="222" t="s">
        <v>353</v>
      </c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4"/>
    </row>
    <row r="15" spans="2:14" ht="43.5" thickBot="1">
      <c r="B15" s="48">
        <v>2</v>
      </c>
      <c r="C15" s="49" t="s">
        <v>355</v>
      </c>
      <c r="D15" s="50"/>
      <c r="E15" s="51" t="s">
        <v>579</v>
      </c>
      <c r="F15" s="52">
        <f>+'Form CA - Final'!K210</f>
        <v>40480328.759999998</v>
      </c>
      <c r="G15" s="52">
        <v>4300000</v>
      </c>
      <c r="H15" s="31">
        <f>+F15+G15</f>
        <v>44780328.759999998</v>
      </c>
      <c r="I15" s="53"/>
      <c r="J15" s="53"/>
      <c r="K15" s="54">
        <f>+'Form CA - Final'!S210</f>
        <v>65637441.908556871</v>
      </c>
      <c r="L15" s="55">
        <v>0</v>
      </c>
      <c r="M15" s="56">
        <v>0</v>
      </c>
      <c r="N15" s="47" t="s">
        <v>9</v>
      </c>
    </row>
    <row r="16" spans="2:14" ht="16.5" thickBot="1">
      <c r="B16" s="57"/>
      <c r="C16" s="210" t="s">
        <v>580</v>
      </c>
      <c r="D16" s="211"/>
      <c r="E16" s="212"/>
      <c r="F16" s="58">
        <f t="shared" ref="F16:G16" si="3">SUM(F13:F15)</f>
        <v>1254938150.8399999</v>
      </c>
      <c r="G16" s="58">
        <f t="shared" si="3"/>
        <v>714882724.69000006</v>
      </c>
      <c r="H16" s="58">
        <f>SUM(H13:H15)</f>
        <v>1969820875.53</v>
      </c>
      <c r="I16" s="59">
        <f ca="1">SUM(I7:I18)</f>
        <v>0</v>
      </c>
      <c r="J16" s="59"/>
      <c r="K16" s="60">
        <f>SUM(K13:K15)</f>
        <v>1680604926.9954181</v>
      </c>
      <c r="L16" s="61">
        <f>SUM(L13:L15)</f>
        <v>132371380.51991889</v>
      </c>
      <c r="M16" s="62">
        <f>SUM(M5:M12)+M15</f>
        <v>1</v>
      </c>
      <c r="N16" s="63"/>
    </row>
    <row r="17" spans="2:14" ht="16.5" thickBot="1">
      <c r="H17" s="64"/>
    </row>
    <row r="18" spans="2:14" ht="16.5" thickBot="1">
      <c r="B18" s="57"/>
      <c r="C18" s="210" t="s">
        <v>581</v>
      </c>
      <c r="D18" s="211"/>
      <c r="E18" s="212"/>
      <c r="F18" s="58">
        <f>+F9+F13+F15</f>
        <v>1349461168.8399999</v>
      </c>
      <c r="G18" s="58">
        <f>+G9+G13+G15</f>
        <v>1068700327.6900001</v>
      </c>
      <c r="H18" s="58">
        <f>+H9+H13+H15</f>
        <v>2549987257.5300002</v>
      </c>
      <c r="I18" s="58">
        <f t="shared" ref="I18:L18" si="4">+I9+I13+I15</f>
        <v>0</v>
      </c>
      <c r="J18" s="58">
        <f t="shared" si="4"/>
        <v>0</v>
      </c>
      <c r="K18" s="58">
        <f>+K9+K13+K15</f>
        <v>2156831435.9954181</v>
      </c>
      <c r="L18" s="58">
        <f t="shared" si="4"/>
        <v>236311253.51991889</v>
      </c>
      <c r="M18" s="62"/>
      <c r="N18" s="63"/>
    </row>
    <row r="19" spans="2:14" ht="16.5" thickBot="1">
      <c r="D19" s="20" t="s">
        <v>582</v>
      </c>
      <c r="H19" s="58">
        <f>+H9+H13</f>
        <v>2505206928.77</v>
      </c>
      <c r="I19" s="64"/>
      <c r="K19" s="60">
        <f>+K5+K6+K7+K12+K8</f>
        <v>2091193994.0868611</v>
      </c>
    </row>
    <row r="20" spans="2:14">
      <c r="F20" s="64"/>
      <c r="J20" s="64"/>
    </row>
    <row r="22" spans="2:14">
      <c r="F22" s="65"/>
      <c r="G22" s="66"/>
      <c r="H22" s="65"/>
      <c r="I22" s="65"/>
      <c r="J22" s="65"/>
    </row>
    <row r="23" spans="2:14">
      <c r="F23" s="65"/>
      <c r="G23" s="67"/>
      <c r="H23" s="68"/>
      <c r="I23" s="69"/>
      <c r="J23" s="70"/>
    </row>
    <row r="24" spans="2:14">
      <c r="F24" s="65"/>
      <c r="G24" s="66"/>
      <c r="H24" s="68"/>
      <c r="I24" s="68"/>
      <c r="J24" s="70"/>
    </row>
    <row r="25" spans="2:14">
      <c r="F25" s="65"/>
      <c r="G25" s="65"/>
      <c r="H25" s="65"/>
      <c r="I25" s="65"/>
      <c r="J25" s="65"/>
    </row>
    <row r="26" spans="2:14">
      <c r="F26" s="71"/>
      <c r="G26" s="65"/>
      <c r="H26" s="69"/>
      <c r="I26" s="65"/>
      <c r="J26" s="65"/>
    </row>
    <row r="27" spans="2:14">
      <c r="F27" s="72"/>
      <c r="G27" s="65"/>
      <c r="H27" s="68"/>
      <c r="I27" s="65"/>
      <c r="J27" s="65"/>
    </row>
    <row r="28" spans="2:14">
      <c r="F28" s="71"/>
      <c r="G28" s="65"/>
      <c r="H28" s="65"/>
      <c r="I28" s="65"/>
      <c r="J28" s="65"/>
    </row>
    <row r="29" spans="2:14">
      <c r="F29" s="65"/>
      <c r="G29" s="65"/>
      <c r="H29" s="65"/>
      <c r="I29" s="65"/>
      <c r="J29" s="65"/>
    </row>
    <row r="30" spans="2:14">
      <c r="F30" s="65"/>
      <c r="G30" s="65"/>
      <c r="H30" s="65"/>
      <c r="I30" s="73"/>
      <c r="J30" s="74"/>
    </row>
    <row r="31" spans="2:14">
      <c r="F31" s="65"/>
      <c r="G31" s="65"/>
      <c r="H31" s="65"/>
      <c r="I31" s="73"/>
      <c r="J31" s="75"/>
    </row>
    <row r="32" spans="2:14">
      <c r="F32" s="65"/>
      <c r="G32" s="65"/>
      <c r="H32" s="65"/>
      <c r="I32" s="73"/>
      <c r="J32" s="75"/>
    </row>
    <row r="33" spans="6:10">
      <c r="F33" s="65"/>
      <c r="G33" s="65"/>
      <c r="H33" s="65"/>
      <c r="I33" s="73"/>
      <c r="J33" s="75"/>
    </row>
    <row r="34" spans="6:10">
      <c r="F34" s="65"/>
      <c r="G34" s="65"/>
      <c r="H34" s="65"/>
      <c r="I34" s="76"/>
      <c r="J34" s="75"/>
    </row>
    <row r="35" spans="6:10">
      <c r="F35" s="65"/>
      <c r="G35" s="65"/>
      <c r="H35" s="65"/>
      <c r="I35" s="65"/>
      <c r="J35" s="75"/>
    </row>
    <row r="36" spans="6:10">
      <c r="F36" s="65"/>
      <c r="G36" s="65"/>
      <c r="H36" s="65"/>
      <c r="I36" s="65"/>
      <c r="J36" s="65"/>
    </row>
  </sheetData>
  <sheetProtection password="CA19" sheet="1" objects="1" scenarios="1" selectLockedCells="1" selectUnlockedCells="1"/>
  <mergeCells count="7">
    <mergeCell ref="C18:E18"/>
    <mergeCell ref="C16:E16"/>
    <mergeCell ref="B4:N4"/>
    <mergeCell ref="C13:E13"/>
    <mergeCell ref="B2:N2"/>
    <mergeCell ref="B14:N14"/>
    <mergeCell ref="B10:N10"/>
  </mergeCells>
  <pageMargins left="0.46" right="0.17" top="0.53" bottom="0.37" header="0.31" footer="0.55000000000000004"/>
  <pageSetup paperSize="5" scale="63" orientation="landscape" verticalDpi="15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25"/>
  <sheetViews>
    <sheetView tabSelected="1" view="pageBreakPreview" zoomScale="84" zoomScaleNormal="96" zoomScaleSheetLayoutView="84" workbookViewId="0">
      <pane xSplit="2" ySplit="2" topLeftCell="C147" activePane="bottomRight" state="frozen"/>
      <selection pane="topRight" activeCell="D1" sqref="D1"/>
      <selection pane="bottomLeft" activeCell="A3" sqref="A3"/>
      <selection pane="bottomRight" activeCell="P209" sqref="P209"/>
    </sheetView>
  </sheetViews>
  <sheetFormatPr defaultRowHeight="14.25"/>
  <cols>
    <col min="1" max="1" width="5.85546875" style="77" customWidth="1"/>
    <col min="2" max="2" width="58.85546875" style="77" customWidth="1"/>
    <col min="3" max="3" width="15.28515625" style="78" customWidth="1"/>
    <col min="4" max="4" width="20.28515625" style="191" bestFit="1" customWidth="1"/>
    <col min="5" max="5" width="16.85546875" style="79" customWidth="1"/>
    <col min="6" max="6" width="29.28515625" style="80" customWidth="1"/>
    <col min="7" max="7" width="11.85546875" style="79" customWidth="1"/>
    <col min="8" max="8" width="20.28515625" style="79" customWidth="1"/>
    <col min="9" max="9" width="22.7109375" style="201" bestFit="1" customWidth="1"/>
    <col min="10" max="10" width="29.42578125" style="201" bestFit="1" customWidth="1"/>
    <col min="11" max="11" width="21.85546875" style="201" bestFit="1" customWidth="1"/>
    <col min="12" max="12" width="23.28515625" style="201" bestFit="1" customWidth="1"/>
    <col min="13" max="13" width="19.7109375" style="202" bestFit="1" customWidth="1"/>
    <col min="14" max="14" width="23.140625" style="201" customWidth="1"/>
    <col min="15" max="15" width="20.42578125" style="201" bestFit="1" customWidth="1"/>
    <col min="16" max="16" width="23.42578125" style="201" bestFit="1" customWidth="1"/>
    <col min="17" max="17" width="23.5703125" style="201" customWidth="1"/>
    <col min="18" max="18" width="24" style="201" bestFit="1" customWidth="1"/>
    <col min="19" max="19" width="19.7109375" style="201" bestFit="1" customWidth="1"/>
    <col min="20" max="16384" width="9.140625" style="77"/>
  </cols>
  <sheetData>
    <row r="1" spans="1:19" ht="15" thickBot="1"/>
    <row r="2" spans="1:19" s="85" customFormat="1" ht="95.25" customHeight="1">
      <c r="A2" s="81" t="s">
        <v>333</v>
      </c>
      <c r="B2" s="82" t="s">
        <v>357</v>
      </c>
      <c r="C2" s="82" t="s">
        <v>358</v>
      </c>
      <c r="D2" s="192" t="s">
        <v>359</v>
      </c>
      <c r="E2" s="83" t="s">
        <v>360</v>
      </c>
      <c r="F2" s="84" t="s">
        <v>361</v>
      </c>
      <c r="G2" s="83" t="s">
        <v>362</v>
      </c>
      <c r="H2" s="83" t="s">
        <v>363</v>
      </c>
      <c r="I2" s="192" t="s">
        <v>364</v>
      </c>
      <c r="J2" s="192" t="s">
        <v>365</v>
      </c>
      <c r="K2" s="192" t="s">
        <v>552</v>
      </c>
      <c r="L2" s="192" t="s">
        <v>553</v>
      </c>
      <c r="M2" s="203" t="s">
        <v>366</v>
      </c>
      <c r="N2" s="192" t="s">
        <v>367</v>
      </c>
      <c r="O2" s="192" t="s">
        <v>368</v>
      </c>
      <c r="P2" s="192" t="s">
        <v>546</v>
      </c>
      <c r="Q2" s="192" t="s">
        <v>535</v>
      </c>
      <c r="R2" s="192" t="s">
        <v>547</v>
      </c>
      <c r="S2" s="192" t="s">
        <v>267</v>
      </c>
    </row>
    <row r="3" spans="1:19">
      <c r="A3" s="86">
        <v>1</v>
      </c>
      <c r="B3" s="87" t="s">
        <v>369</v>
      </c>
      <c r="C3" s="88" t="s">
        <v>370</v>
      </c>
      <c r="D3" s="193">
        <v>4842591.9099815693</v>
      </c>
      <c r="E3" s="89">
        <v>41114</v>
      </c>
      <c r="F3" s="90">
        <v>42393</v>
      </c>
      <c r="G3" s="89">
        <v>43208</v>
      </c>
      <c r="H3" s="91">
        <v>815</v>
      </c>
      <c r="I3" s="204">
        <v>865032.85624876246</v>
      </c>
      <c r="J3" s="204">
        <v>5707624.7662303317</v>
      </c>
      <c r="K3" s="204">
        <v>4992228</v>
      </c>
      <c r="L3" s="204">
        <v>891762.3715068493</v>
      </c>
      <c r="M3" s="205">
        <v>4992228</v>
      </c>
      <c r="N3" s="204">
        <v>4992227</v>
      </c>
      <c r="O3" s="204">
        <v>2277523.2920547947</v>
      </c>
      <c r="P3" s="204">
        <f>+M3</f>
        <v>4992228</v>
      </c>
      <c r="Q3" s="204">
        <f t="shared" ref="Q3:Q34" si="0">+K3-R3</f>
        <v>149636.09001843072</v>
      </c>
      <c r="R3" s="204">
        <f>+P3*100/103.09</f>
        <v>4842591.9099815693</v>
      </c>
      <c r="S3" s="204">
        <f>+R3+O3</f>
        <v>7120115.202036364</v>
      </c>
    </row>
    <row r="4" spans="1:19">
      <c r="A4" s="86">
        <v>2</v>
      </c>
      <c r="B4" s="87" t="s">
        <v>101</v>
      </c>
      <c r="C4" s="88" t="s">
        <v>102</v>
      </c>
      <c r="D4" s="193">
        <v>5852547.2887767972</v>
      </c>
      <c r="E4" s="89">
        <v>41151</v>
      </c>
      <c r="F4" s="90">
        <v>42429</v>
      </c>
      <c r="G4" s="89">
        <v>43208</v>
      </c>
      <c r="H4" s="91">
        <v>779</v>
      </c>
      <c r="I4" s="204">
        <v>999262.32064813701</v>
      </c>
      <c r="J4" s="204">
        <v>6851809.6094249338</v>
      </c>
      <c r="K4" s="204">
        <v>6047061</v>
      </c>
      <c r="L4" s="204">
        <v>1032473.538410959</v>
      </c>
      <c r="M4" s="205">
        <v>6033391</v>
      </c>
      <c r="N4" s="204">
        <v>6033390</v>
      </c>
      <c r="O4" s="204">
        <v>2553596.332712329</v>
      </c>
      <c r="P4" s="204">
        <f t="shared" ref="P4:P67" si="1">+M4</f>
        <v>6033391</v>
      </c>
      <c r="Q4" s="204">
        <f t="shared" si="0"/>
        <v>194513.71122320276</v>
      </c>
      <c r="R4" s="204">
        <f t="shared" ref="R4:R67" si="2">+P4*100/103.09</f>
        <v>5852547.2887767972</v>
      </c>
      <c r="S4" s="204">
        <f t="shared" ref="S4:S67" si="3">+R4+O4</f>
        <v>8406143.6214891262</v>
      </c>
    </row>
    <row r="5" spans="1:19">
      <c r="A5" s="86">
        <v>3</v>
      </c>
      <c r="B5" s="87" t="s">
        <v>99</v>
      </c>
      <c r="C5" s="88" t="s">
        <v>100</v>
      </c>
      <c r="D5" s="193">
        <v>6130488.8932001162</v>
      </c>
      <c r="E5" s="89">
        <v>41162</v>
      </c>
      <c r="F5" s="90">
        <v>42439</v>
      </c>
      <c r="G5" s="89">
        <v>43208</v>
      </c>
      <c r="H5" s="91">
        <v>769</v>
      </c>
      <c r="I5" s="204">
        <v>1033281.3060538936</v>
      </c>
      <c r="J5" s="204">
        <v>7163770.1992540099</v>
      </c>
      <c r="K5" s="204">
        <v>6332655</v>
      </c>
      <c r="L5" s="204">
        <v>1067355.9879452055</v>
      </c>
      <c r="M5" s="205">
        <v>6319921</v>
      </c>
      <c r="N5" s="204">
        <v>6319921</v>
      </c>
      <c r="O5" s="204">
        <v>2666771.5026849317</v>
      </c>
      <c r="P5" s="204">
        <f t="shared" si="1"/>
        <v>6319921</v>
      </c>
      <c r="Q5" s="204">
        <f t="shared" si="0"/>
        <v>202166.10679988377</v>
      </c>
      <c r="R5" s="204">
        <f t="shared" si="2"/>
        <v>6130488.8932001162</v>
      </c>
      <c r="S5" s="204">
        <f t="shared" si="3"/>
        <v>8797260.3958850484</v>
      </c>
    </row>
    <row r="6" spans="1:19">
      <c r="A6" s="86">
        <v>4</v>
      </c>
      <c r="B6" s="87" t="s">
        <v>97</v>
      </c>
      <c r="C6" s="88" t="s">
        <v>98</v>
      </c>
      <c r="D6" s="193">
        <v>5003374.7211174704</v>
      </c>
      <c r="E6" s="89">
        <v>40640</v>
      </c>
      <c r="F6" s="90">
        <v>41919</v>
      </c>
      <c r="G6" s="89">
        <v>43208</v>
      </c>
      <c r="H6" s="91">
        <v>1289</v>
      </c>
      <c r="I6" s="204">
        <v>1413556.1677852974</v>
      </c>
      <c r="J6" s="204">
        <v>6416930.8889027676</v>
      </c>
      <c r="K6" s="204">
        <v>5165139</v>
      </c>
      <c r="L6" s="204">
        <v>1459257.9004931506</v>
      </c>
      <c r="M6" s="205">
        <v>5157979</v>
      </c>
      <c r="N6" s="204">
        <v>5157978</v>
      </c>
      <c r="O6" s="204">
        <v>2371974.177315068</v>
      </c>
      <c r="P6" s="204">
        <f t="shared" si="1"/>
        <v>5157979</v>
      </c>
      <c r="Q6" s="204">
        <f t="shared" si="0"/>
        <v>161764.27888252959</v>
      </c>
      <c r="R6" s="204">
        <f t="shared" si="2"/>
        <v>5003374.7211174704</v>
      </c>
      <c r="S6" s="204">
        <f t="shared" si="3"/>
        <v>7375348.8984325379</v>
      </c>
    </row>
    <row r="7" spans="1:19" s="85" customFormat="1">
      <c r="A7" s="93">
        <v>5</v>
      </c>
      <c r="B7" s="87" t="s">
        <v>95</v>
      </c>
      <c r="C7" s="88" t="s">
        <v>96</v>
      </c>
      <c r="D7" s="193">
        <v>5513032.30187215</v>
      </c>
      <c r="E7" s="94">
        <v>41151</v>
      </c>
      <c r="F7" s="95">
        <v>42429</v>
      </c>
      <c r="G7" s="94">
        <v>43208</v>
      </c>
      <c r="H7" s="96">
        <v>779</v>
      </c>
      <c r="I7" s="206">
        <v>941293.62480184215</v>
      </c>
      <c r="J7" s="206">
        <v>6454325.9266739925</v>
      </c>
      <c r="K7" s="206">
        <v>5766891.71</v>
      </c>
      <c r="L7" s="206">
        <v>984637.51059506845</v>
      </c>
      <c r="M7" s="207">
        <v>5683385</v>
      </c>
      <c r="N7" s="206">
        <v>5683539</v>
      </c>
      <c r="O7" s="206">
        <v>2431864.738410959</v>
      </c>
      <c r="P7" s="204">
        <f>+N7</f>
        <v>5683539</v>
      </c>
      <c r="Q7" s="204">
        <f t="shared" si="0"/>
        <v>253710.02409448102</v>
      </c>
      <c r="R7" s="204">
        <f t="shared" si="2"/>
        <v>5513181.6859055189</v>
      </c>
      <c r="S7" s="204">
        <f t="shared" si="3"/>
        <v>7945046.424316478</v>
      </c>
    </row>
    <row r="8" spans="1:19">
      <c r="A8" s="86">
        <v>6</v>
      </c>
      <c r="B8" s="87" t="s">
        <v>94</v>
      </c>
      <c r="C8" s="88" t="s">
        <v>281</v>
      </c>
      <c r="D8" s="193">
        <v>6153221.4569793381</v>
      </c>
      <c r="E8" s="89">
        <v>41019</v>
      </c>
      <c r="F8" s="90">
        <v>42297</v>
      </c>
      <c r="G8" s="89">
        <v>43208</v>
      </c>
      <c r="H8" s="91">
        <v>911</v>
      </c>
      <c r="I8" s="204">
        <v>1228621.3144785045</v>
      </c>
      <c r="J8" s="204">
        <v>7381842.7714578426</v>
      </c>
      <c r="K8" s="204">
        <v>6343356.3800000008</v>
      </c>
      <c r="L8" s="204">
        <v>1266585.7889709591</v>
      </c>
      <c r="M8" s="205">
        <v>6343356</v>
      </c>
      <c r="N8" s="204">
        <v>6343355</v>
      </c>
      <c r="O8" s="204">
        <v>2739105.0093150684</v>
      </c>
      <c r="P8" s="204">
        <f t="shared" si="1"/>
        <v>6343356</v>
      </c>
      <c r="Q8" s="204">
        <f t="shared" si="0"/>
        <v>190134.92302066274</v>
      </c>
      <c r="R8" s="204">
        <f t="shared" si="2"/>
        <v>6153221.4569793381</v>
      </c>
      <c r="S8" s="204">
        <f t="shared" si="3"/>
        <v>8892326.466294406</v>
      </c>
    </row>
    <row r="9" spans="1:19" s="85" customFormat="1" ht="16.5" customHeight="1">
      <c r="A9" s="93">
        <v>7</v>
      </c>
      <c r="B9" s="87" t="s">
        <v>93</v>
      </c>
      <c r="C9" s="98" t="s">
        <v>280</v>
      </c>
      <c r="D9" s="193">
        <v>7451198.9523717137</v>
      </c>
      <c r="E9" s="94">
        <v>41207</v>
      </c>
      <c r="F9" s="95">
        <v>42485</v>
      </c>
      <c r="G9" s="94">
        <v>43208</v>
      </c>
      <c r="H9" s="96">
        <v>723</v>
      </c>
      <c r="I9" s="206">
        <v>1180759.8559046027</v>
      </c>
      <c r="J9" s="206">
        <v>8631958.8082763162</v>
      </c>
      <c r="K9" s="206">
        <v>8134306</v>
      </c>
      <c r="L9" s="206">
        <v>1289008.9288767122</v>
      </c>
      <c r="M9" s="207">
        <v>7681411</v>
      </c>
      <c r="N9" s="206">
        <v>7681411</v>
      </c>
      <c r="O9" s="206">
        <v>3247316.475178082</v>
      </c>
      <c r="P9" s="204">
        <f t="shared" si="1"/>
        <v>7681411</v>
      </c>
      <c r="Q9" s="204">
        <f t="shared" si="0"/>
        <v>683136.14841400739</v>
      </c>
      <c r="R9" s="204">
        <f t="shared" si="2"/>
        <v>7451169.8515859926</v>
      </c>
      <c r="S9" s="204">
        <f t="shared" si="3"/>
        <v>10698486.326764075</v>
      </c>
    </row>
    <row r="10" spans="1:19">
      <c r="A10" s="86">
        <v>8</v>
      </c>
      <c r="B10" s="87" t="s">
        <v>92</v>
      </c>
      <c r="C10" s="98" t="s">
        <v>279</v>
      </c>
      <c r="D10" s="193">
        <v>6379088.1753807347</v>
      </c>
      <c r="E10" s="89">
        <v>41155</v>
      </c>
      <c r="F10" s="90">
        <v>42432</v>
      </c>
      <c r="G10" s="89">
        <v>43208</v>
      </c>
      <c r="H10" s="91">
        <v>776</v>
      </c>
      <c r="I10" s="204">
        <v>1084969.2984318794</v>
      </c>
      <c r="J10" s="204">
        <v>7464057.4738126136</v>
      </c>
      <c r="K10" s="204">
        <v>6822150</v>
      </c>
      <c r="L10" s="204">
        <v>1160326.2246575342</v>
      </c>
      <c r="M10" s="205">
        <v>6576202</v>
      </c>
      <c r="N10" s="204">
        <v>6576202</v>
      </c>
      <c r="O10" s="204">
        <v>2692875.6970958901</v>
      </c>
      <c r="P10" s="204">
        <f t="shared" si="1"/>
        <v>6576202</v>
      </c>
      <c r="Q10" s="204">
        <f t="shared" si="0"/>
        <v>443061.82461926527</v>
      </c>
      <c r="R10" s="204">
        <f t="shared" si="2"/>
        <v>6379088.1753807347</v>
      </c>
      <c r="S10" s="204">
        <f t="shared" si="3"/>
        <v>9071963.8724766243</v>
      </c>
    </row>
    <row r="11" spans="1:19">
      <c r="A11" s="86">
        <v>9</v>
      </c>
      <c r="B11" s="87" t="s">
        <v>252</v>
      </c>
      <c r="C11" s="88" t="s">
        <v>287</v>
      </c>
      <c r="D11" s="193">
        <v>6155590.2609370453</v>
      </c>
      <c r="E11" s="89">
        <v>41344</v>
      </c>
      <c r="F11" s="90">
        <v>42624</v>
      </c>
      <c r="G11" s="89">
        <v>43208</v>
      </c>
      <c r="H11" s="91">
        <v>584</v>
      </c>
      <c r="I11" s="204">
        <v>787915.55339994177</v>
      </c>
      <c r="J11" s="204">
        <v>6943505.8143369872</v>
      </c>
      <c r="K11" s="204">
        <v>6345798</v>
      </c>
      <c r="L11" s="204">
        <v>812262.14400000009</v>
      </c>
      <c r="M11" s="205">
        <v>6345798</v>
      </c>
      <c r="N11" s="204">
        <v>6345797.9800000004</v>
      </c>
      <c r="O11" s="204">
        <v>2554161.9509873977</v>
      </c>
      <c r="P11" s="204">
        <f t="shared" si="1"/>
        <v>6345798</v>
      </c>
      <c r="Q11" s="204">
        <f t="shared" si="0"/>
        <v>190207.73906295467</v>
      </c>
      <c r="R11" s="204">
        <f t="shared" si="2"/>
        <v>6155590.2609370453</v>
      </c>
      <c r="S11" s="204">
        <f t="shared" si="3"/>
        <v>8709752.211924443</v>
      </c>
    </row>
    <row r="12" spans="1:19">
      <c r="A12" s="86">
        <v>10</v>
      </c>
      <c r="B12" s="87" t="s">
        <v>81</v>
      </c>
      <c r="C12" s="88" t="s">
        <v>82</v>
      </c>
      <c r="D12" s="193">
        <v>7791433.6987098651</v>
      </c>
      <c r="E12" s="89">
        <v>41477</v>
      </c>
      <c r="F12" s="90">
        <v>42757</v>
      </c>
      <c r="G12" s="89">
        <v>43208</v>
      </c>
      <c r="H12" s="91">
        <v>451</v>
      </c>
      <c r="I12" s="204">
        <v>770177.88451904641</v>
      </c>
      <c r="J12" s="204">
        <v>8561611.5832289122</v>
      </c>
      <c r="K12" s="204">
        <v>8032189</v>
      </c>
      <c r="L12" s="204">
        <v>793976.3811506849</v>
      </c>
      <c r="M12" s="205">
        <v>9146109</v>
      </c>
      <c r="N12" s="204">
        <v>8032199</v>
      </c>
      <c r="O12" s="204">
        <v>3036152.5551780825</v>
      </c>
      <c r="P12" s="204">
        <f>+K12</f>
        <v>8032189</v>
      </c>
      <c r="Q12" s="204">
        <f t="shared" si="0"/>
        <v>240755.3012901349</v>
      </c>
      <c r="R12" s="204">
        <f t="shared" si="2"/>
        <v>7791433.6987098651</v>
      </c>
      <c r="S12" s="204">
        <f t="shared" si="3"/>
        <v>10827586.253887948</v>
      </c>
    </row>
    <row r="13" spans="1:19">
      <c r="A13" s="86">
        <v>11</v>
      </c>
      <c r="B13" s="87" t="s">
        <v>251</v>
      </c>
      <c r="C13" s="88" t="s">
        <v>286</v>
      </c>
      <c r="D13" s="193">
        <v>5873783.102143758</v>
      </c>
      <c r="E13" s="89">
        <v>41148</v>
      </c>
      <c r="F13" s="90">
        <v>42427</v>
      </c>
      <c r="G13" s="89">
        <v>43208</v>
      </c>
      <c r="H13" s="91">
        <v>781</v>
      </c>
      <c r="I13" s="204">
        <v>1005462.9266354577</v>
      </c>
      <c r="J13" s="204">
        <v>6879246.0287792161</v>
      </c>
      <c r="K13" s="204">
        <v>6055283</v>
      </c>
      <c r="L13" s="204">
        <v>1036531.7310684931</v>
      </c>
      <c r="M13" s="205">
        <v>6055283</v>
      </c>
      <c r="N13" s="204">
        <v>6055283.0099999998</v>
      </c>
      <c r="O13" s="204">
        <v>2557419.5006334246</v>
      </c>
      <c r="P13" s="204">
        <f t="shared" si="1"/>
        <v>6055283</v>
      </c>
      <c r="Q13" s="204">
        <f t="shared" si="0"/>
        <v>181499.89785624202</v>
      </c>
      <c r="R13" s="204">
        <f t="shared" si="2"/>
        <v>5873783.102143758</v>
      </c>
      <c r="S13" s="204">
        <f t="shared" si="3"/>
        <v>8431202.6027771831</v>
      </c>
    </row>
    <row r="14" spans="1:19">
      <c r="A14" s="86">
        <v>12</v>
      </c>
      <c r="B14" s="87" t="s">
        <v>250</v>
      </c>
      <c r="C14" s="88" t="s">
        <v>285</v>
      </c>
      <c r="D14" s="193">
        <v>5641556.892036085</v>
      </c>
      <c r="E14" s="89">
        <v>41096</v>
      </c>
      <c r="F14" s="90">
        <v>42375</v>
      </c>
      <c r="G14" s="89">
        <v>43208</v>
      </c>
      <c r="H14" s="91">
        <v>833</v>
      </c>
      <c r="I14" s="204">
        <v>1030009.1816035197</v>
      </c>
      <c r="J14" s="204">
        <v>6671566.0736396052</v>
      </c>
      <c r="K14" s="204">
        <v>5817366</v>
      </c>
      <c r="L14" s="204">
        <v>1062107.5896986302</v>
      </c>
      <c r="M14" s="205">
        <v>5815881</v>
      </c>
      <c r="N14" s="204">
        <v>5817365.3499999996</v>
      </c>
      <c r="O14" s="204">
        <v>2498237.1753490409</v>
      </c>
      <c r="P14" s="204">
        <f>+K14</f>
        <v>5817366</v>
      </c>
      <c r="Q14" s="204">
        <f t="shared" si="0"/>
        <v>174368.61907071527</v>
      </c>
      <c r="R14" s="204">
        <f t="shared" si="2"/>
        <v>5642997.3809292847</v>
      </c>
      <c r="S14" s="204">
        <f t="shared" si="3"/>
        <v>8141234.5562783256</v>
      </c>
    </row>
    <row r="15" spans="1:19">
      <c r="A15" s="86">
        <v>13</v>
      </c>
      <c r="B15" s="87" t="s">
        <v>248</v>
      </c>
      <c r="C15" s="88" t="s">
        <v>249</v>
      </c>
      <c r="D15" s="193">
        <v>5507834.9015423413</v>
      </c>
      <c r="E15" s="89">
        <v>41169</v>
      </c>
      <c r="F15" s="90">
        <v>42446</v>
      </c>
      <c r="G15" s="89">
        <v>43208</v>
      </c>
      <c r="H15" s="91">
        <v>762</v>
      </c>
      <c r="I15" s="204">
        <v>919883.87835074286</v>
      </c>
      <c r="J15" s="204">
        <v>6427718.7798930844</v>
      </c>
      <c r="K15" s="204">
        <v>5678324</v>
      </c>
      <c r="L15" s="204">
        <v>948357.89326027385</v>
      </c>
      <c r="M15" s="205">
        <v>5678027</v>
      </c>
      <c r="N15" s="204">
        <v>5678324.0099999998</v>
      </c>
      <c r="O15" s="204">
        <v>2403677.6714301375</v>
      </c>
      <c r="P15" s="204">
        <f>+K15</f>
        <v>5678324</v>
      </c>
      <c r="Q15" s="204">
        <f t="shared" si="0"/>
        <v>170201.00067901891</v>
      </c>
      <c r="R15" s="204">
        <f t="shared" si="2"/>
        <v>5508122.9993209811</v>
      </c>
      <c r="S15" s="204">
        <f t="shared" si="3"/>
        <v>7911800.670751119</v>
      </c>
    </row>
    <row r="16" spans="1:19">
      <c r="A16" s="86">
        <v>14</v>
      </c>
      <c r="B16" s="87" t="s">
        <v>247</v>
      </c>
      <c r="C16" s="98" t="s">
        <v>371</v>
      </c>
      <c r="D16" s="193">
        <v>5587135.5126588419</v>
      </c>
      <c r="E16" s="89">
        <v>40959</v>
      </c>
      <c r="F16" s="90">
        <v>42236</v>
      </c>
      <c r="G16" s="89">
        <v>43208</v>
      </c>
      <c r="H16" s="91">
        <v>972</v>
      </c>
      <c r="I16" s="204">
        <v>1190289.4725050726</v>
      </c>
      <c r="J16" s="204">
        <v>6777424.985163914</v>
      </c>
      <c r="K16" s="204">
        <v>5759777</v>
      </c>
      <c r="L16" s="204">
        <v>1227069.2041643835</v>
      </c>
      <c r="M16" s="205">
        <v>5759777</v>
      </c>
      <c r="N16" s="204">
        <v>5759778.0099999998</v>
      </c>
      <c r="O16" s="204">
        <v>2700147.1829150687</v>
      </c>
      <c r="P16" s="204">
        <f t="shared" si="1"/>
        <v>5759777</v>
      </c>
      <c r="Q16" s="204">
        <f t="shared" si="0"/>
        <v>172642.45736734942</v>
      </c>
      <c r="R16" s="204">
        <f t="shared" si="2"/>
        <v>5587134.5426326506</v>
      </c>
      <c r="S16" s="204">
        <f t="shared" si="3"/>
        <v>8287281.7255477197</v>
      </c>
    </row>
    <row r="17" spans="1:19">
      <c r="A17" s="86">
        <v>15</v>
      </c>
      <c r="B17" s="87" t="s">
        <v>11</v>
      </c>
      <c r="C17" s="88" t="s">
        <v>13</v>
      </c>
      <c r="D17" s="193">
        <v>9282668.5420506354</v>
      </c>
      <c r="E17" s="89">
        <v>41374</v>
      </c>
      <c r="F17" s="90">
        <v>42653</v>
      </c>
      <c r="G17" s="89">
        <v>43208</v>
      </c>
      <c r="H17" s="91">
        <v>555</v>
      </c>
      <c r="I17" s="204">
        <v>1129179.406211091</v>
      </c>
      <c r="J17" s="204">
        <v>10411847.948261727</v>
      </c>
      <c r="K17" s="204">
        <v>9569501</v>
      </c>
      <c r="L17" s="204">
        <v>1164070.8065753423</v>
      </c>
      <c r="M17" s="205">
        <v>9569502</v>
      </c>
      <c r="N17" s="204">
        <v>9569501</v>
      </c>
      <c r="O17" s="204">
        <v>3759914.1293150685</v>
      </c>
      <c r="P17" s="204">
        <f>+K17</f>
        <v>9569501</v>
      </c>
      <c r="Q17" s="204">
        <f t="shared" si="0"/>
        <v>286834.39800174721</v>
      </c>
      <c r="R17" s="204">
        <f t="shared" si="2"/>
        <v>9282666.6019982528</v>
      </c>
      <c r="S17" s="204">
        <f t="shared" si="3"/>
        <v>13042580.731313322</v>
      </c>
    </row>
    <row r="18" spans="1:19">
      <c r="A18" s="86">
        <v>16</v>
      </c>
      <c r="B18" s="87" t="s">
        <v>372</v>
      </c>
      <c r="C18" s="88" t="s">
        <v>284</v>
      </c>
      <c r="D18" s="193">
        <v>6842637.5012125326</v>
      </c>
      <c r="E18" s="89">
        <v>40970</v>
      </c>
      <c r="F18" s="90">
        <v>42249</v>
      </c>
      <c r="G18" s="89">
        <v>43208</v>
      </c>
      <c r="H18" s="91">
        <v>959</v>
      </c>
      <c r="I18" s="204">
        <v>1438266.1618987001</v>
      </c>
      <c r="J18" s="204">
        <v>8280903.6631112322</v>
      </c>
      <c r="K18" s="204">
        <v>6858764</v>
      </c>
      <c r="L18" s="204">
        <v>1441655.8193972602</v>
      </c>
      <c r="M18" s="205">
        <v>7054075</v>
      </c>
      <c r="N18" s="204">
        <v>6858764</v>
      </c>
      <c r="O18" s="204">
        <v>2940263.2780273976</v>
      </c>
      <c r="P18" s="204">
        <f t="shared" si="1"/>
        <v>7054075</v>
      </c>
      <c r="Q18" s="204">
        <f t="shared" si="0"/>
        <v>16126.498787467368</v>
      </c>
      <c r="R18" s="204">
        <f t="shared" si="2"/>
        <v>6842637.5012125326</v>
      </c>
      <c r="S18" s="204">
        <f t="shared" si="3"/>
        <v>9782900.7792399302</v>
      </c>
    </row>
    <row r="19" spans="1:19">
      <c r="A19" s="86">
        <v>17</v>
      </c>
      <c r="B19" s="87" t="s">
        <v>373</v>
      </c>
      <c r="C19" s="88" t="s">
        <v>283</v>
      </c>
      <c r="D19" s="193">
        <v>6739551.8478998933</v>
      </c>
      <c r="E19" s="89">
        <v>41156</v>
      </c>
      <c r="F19" s="90">
        <v>42433</v>
      </c>
      <c r="G19" s="89">
        <v>43208</v>
      </c>
      <c r="H19" s="91">
        <v>775</v>
      </c>
      <c r="I19" s="204">
        <v>1144800.5878624476</v>
      </c>
      <c r="J19" s="204">
        <v>7884352.4357623411</v>
      </c>
      <c r="K19" s="204">
        <v>6947713</v>
      </c>
      <c r="L19" s="204">
        <v>1180159.4684931508</v>
      </c>
      <c r="M19" s="205">
        <v>6947804</v>
      </c>
      <c r="N19" s="204">
        <v>6947713.1099999994</v>
      </c>
      <c r="O19" s="204">
        <v>2943051.2623408223</v>
      </c>
      <c r="P19" s="204">
        <f t="shared" ref="P19:P24" si="4">+K19</f>
        <v>6947713</v>
      </c>
      <c r="Q19" s="204">
        <f t="shared" si="0"/>
        <v>208249.42448346131</v>
      </c>
      <c r="R19" s="204">
        <f t="shared" si="2"/>
        <v>6739463.5755165387</v>
      </c>
      <c r="S19" s="204">
        <f t="shared" si="3"/>
        <v>9682514.8378573619</v>
      </c>
    </row>
    <row r="20" spans="1:19">
      <c r="A20" s="86">
        <v>18</v>
      </c>
      <c r="B20" s="99" t="s">
        <v>374</v>
      </c>
      <c r="C20" s="88" t="s">
        <v>282</v>
      </c>
      <c r="D20" s="193">
        <v>5865807.5468037631</v>
      </c>
      <c r="E20" s="89">
        <v>41318</v>
      </c>
      <c r="F20" s="90">
        <v>42595</v>
      </c>
      <c r="G20" s="89">
        <v>43208</v>
      </c>
      <c r="H20" s="91">
        <v>613</v>
      </c>
      <c r="I20" s="204">
        <v>788107.40300070285</v>
      </c>
      <c r="J20" s="204">
        <v>6653914.9498044662</v>
      </c>
      <c r="K20" s="204">
        <v>6047060</v>
      </c>
      <c r="L20" s="204">
        <v>812459.7873972602</v>
      </c>
      <c r="M20" s="205">
        <v>6047061</v>
      </c>
      <c r="N20" s="204">
        <v>6047061.5999999996</v>
      </c>
      <c r="O20" s="204">
        <v>2563514.6588931517</v>
      </c>
      <c r="P20" s="204">
        <f t="shared" si="4"/>
        <v>6047060</v>
      </c>
      <c r="Q20" s="204">
        <f t="shared" si="0"/>
        <v>181253.42322242726</v>
      </c>
      <c r="R20" s="204">
        <f t="shared" si="2"/>
        <v>5865806.5767775727</v>
      </c>
      <c r="S20" s="204">
        <f t="shared" si="3"/>
        <v>8429321.2356707249</v>
      </c>
    </row>
    <row r="21" spans="1:19">
      <c r="A21" s="86">
        <v>19</v>
      </c>
      <c r="B21" s="87" t="s">
        <v>375</v>
      </c>
      <c r="C21" s="88" t="s">
        <v>246</v>
      </c>
      <c r="D21" s="193">
        <v>6829611.0194975259</v>
      </c>
      <c r="E21" s="89">
        <v>41150</v>
      </c>
      <c r="F21" s="90">
        <v>42429</v>
      </c>
      <c r="G21" s="89">
        <v>43208</v>
      </c>
      <c r="H21" s="91">
        <v>779</v>
      </c>
      <c r="I21" s="204">
        <v>1166085.914342701</v>
      </c>
      <c r="J21" s="204">
        <v>7995696.9338402264</v>
      </c>
      <c r="K21" s="204">
        <v>7040644</v>
      </c>
      <c r="L21" s="204">
        <v>1202117.6276164383</v>
      </c>
      <c r="M21" s="205">
        <v>7040646</v>
      </c>
      <c r="N21" s="204">
        <v>7040646</v>
      </c>
      <c r="O21" s="204">
        <v>2906652.1087123291</v>
      </c>
      <c r="P21" s="204">
        <f t="shared" si="4"/>
        <v>7040644</v>
      </c>
      <c r="Q21" s="204">
        <f t="shared" si="0"/>
        <v>211034.92055485491</v>
      </c>
      <c r="R21" s="204">
        <f t="shared" si="2"/>
        <v>6829609.0794451451</v>
      </c>
      <c r="S21" s="204">
        <f t="shared" si="3"/>
        <v>9736261.1881574746</v>
      </c>
    </row>
    <row r="22" spans="1:19">
      <c r="A22" s="86">
        <v>20</v>
      </c>
      <c r="B22" s="87" t="s">
        <v>83</v>
      </c>
      <c r="C22" s="98" t="s">
        <v>376</v>
      </c>
      <c r="D22" s="193">
        <v>8698149.209428655</v>
      </c>
      <c r="E22" s="89">
        <v>41122</v>
      </c>
      <c r="F22" s="90">
        <v>42401</v>
      </c>
      <c r="G22" s="89">
        <v>43208</v>
      </c>
      <c r="H22" s="91">
        <v>807</v>
      </c>
      <c r="I22" s="204">
        <v>1538500.0355088052</v>
      </c>
      <c r="J22" s="204">
        <v>10236649.244937461</v>
      </c>
      <c r="K22" s="204">
        <v>8966922.0199999996</v>
      </c>
      <c r="L22" s="204">
        <v>1586039.6866060272</v>
      </c>
      <c r="M22" s="205">
        <v>13389100</v>
      </c>
      <c r="N22" s="204">
        <v>8966922</v>
      </c>
      <c r="O22" s="204">
        <v>4306015.5870684935</v>
      </c>
      <c r="P22" s="204">
        <f t="shared" si="4"/>
        <v>8966922.0199999996</v>
      </c>
      <c r="Q22" s="204">
        <f t="shared" si="0"/>
        <v>268772.81057134457</v>
      </c>
      <c r="R22" s="204">
        <f t="shared" si="2"/>
        <v>8698149.209428655</v>
      </c>
      <c r="S22" s="204">
        <f t="shared" si="3"/>
        <v>13004164.796497148</v>
      </c>
    </row>
    <row r="23" spans="1:19">
      <c r="A23" s="86">
        <v>21</v>
      </c>
      <c r="B23" s="87" t="s">
        <v>377</v>
      </c>
      <c r="C23" s="88" t="s">
        <v>278</v>
      </c>
      <c r="D23" s="193">
        <v>6327933.844213794</v>
      </c>
      <c r="E23" s="89">
        <v>40651</v>
      </c>
      <c r="F23" s="90">
        <v>41930</v>
      </c>
      <c r="G23" s="89">
        <v>43208</v>
      </c>
      <c r="H23" s="91">
        <v>1278</v>
      </c>
      <c r="I23" s="204">
        <v>1772514.948581968</v>
      </c>
      <c r="J23" s="204">
        <v>8100448.7927957624</v>
      </c>
      <c r="K23" s="204">
        <v>6523458</v>
      </c>
      <c r="L23" s="204">
        <v>1827283.1395068495</v>
      </c>
      <c r="M23" s="205">
        <v>6523467</v>
      </c>
      <c r="N23" s="204">
        <v>6523468</v>
      </c>
      <c r="O23" s="204">
        <v>2819682.6185205481</v>
      </c>
      <c r="P23" s="204">
        <f t="shared" si="4"/>
        <v>6523458</v>
      </c>
      <c r="Q23" s="204">
        <f t="shared" si="0"/>
        <v>195532.88602192234</v>
      </c>
      <c r="R23" s="204">
        <f t="shared" si="2"/>
        <v>6327925.1139780777</v>
      </c>
      <c r="S23" s="204">
        <f t="shared" si="3"/>
        <v>9147607.7324986253</v>
      </c>
    </row>
    <row r="24" spans="1:19">
      <c r="A24" s="86">
        <v>22</v>
      </c>
      <c r="B24" s="87" t="s">
        <v>8</v>
      </c>
      <c r="C24" s="88" t="s">
        <v>10</v>
      </c>
      <c r="D24" s="193">
        <v>4628756.4264235133</v>
      </c>
      <c r="E24" s="89">
        <v>40933</v>
      </c>
      <c r="F24" s="90">
        <v>42210</v>
      </c>
      <c r="G24" s="89">
        <v>43208</v>
      </c>
      <c r="H24" s="91">
        <v>998</v>
      </c>
      <c r="I24" s="204">
        <v>1012492.9125634336</v>
      </c>
      <c r="J24" s="204">
        <v>5641249.3389869472</v>
      </c>
      <c r="K24" s="204">
        <v>4771783</v>
      </c>
      <c r="L24" s="204">
        <v>1043778.5060821917</v>
      </c>
      <c r="M24" s="205">
        <v>4771785</v>
      </c>
      <c r="N24" s="204">
        <v>4771783</v>
      </c>
      <c r="O24" s="204">
        <v>881458.3449863015</v>
      </c>
      <c r="P24" s="204">
        <f t="shared" si="4"/>
        <v>4771783</v>
      </c>
      <c r="Q24" s="204">
        <f t="shared" si="0"/>
        <v>143028.51362886839</v>
      </c>
      <c r="R24" s="204">
        <f t="shared" si="2"/>
        <v>4628754.4863711316</v>
      </c>
      <c r="S24" s="204">
        <f t="shared" si="3"/>
        <v>5510212.8313574335</v>
      </c>
    </row>
    <row r="25" spans="1:19">
      <c r="A25" s="86">
        <v>23</v>
      </c>
      <c r="B25" s="87" t="s">
        <v>378</v>
      </c>
      <c r="C25" s="88" t="s">
        <v>277</v>
      </c>
      <c r="D25" s="193">
        <v>5320894.3641478317</v>
      </c>
      <c r="E25" s="89">
        <v>41158</v>
      </c>
      <c r="F25" s="90">
        <v>42435</v>
      </c>
      <c r="G25" s="89">
        <v>43208</v>
      </c>
      <c r="H25" s="91">
        <v>773</v>
      </c>
      <c r="I25" s="204">
        <v>901490.70542164915</v>
      </c>
      <c r="J25" s="204">
        <v>6222385.0695694806</v>
      </c>
      <c r="K25" s="204">
        <v>5485310</v>
      </c>
      <c r="L25" s="204">
        <v>929346.76821917796</v>
      </c>
      <c r="M25" s="205">
        <v>5485310</v>
      </c>
      <c r="N25" s="204">
        <v>5485310.0099999998</v>
      </c>
      <c r="O25" s="204">
        <v>2281051.031609863</v>
      </c>
      <c r="P25" s="204">
        <f t="shared" si="1"/>
        <v>5485310</v>
      </c>
      <c r="Q25" s="204">
        <f t="shared" si="0"/>
        <v>164415.63585216831</v>
      </c>
      <c r="R25" s="204">
        <f t="shared" si="2"/>
        <v>5320894.3641478317</v>
      </c>
      <c r="S25" s="204">
        <f t="shared" si="3"/>
        <v>7601945.3957576947</v>
      </c>
    </row>
    <row r="26" spans="1:19">
      <c r="A26" s="86">
        <v>24</v>
      </c>
      <c r="B26" s="87" t="s">
        <v>91</v>
      </c>
      <c r="C26" s="88" t="s">
        <v>276</v>
      </c>
      <c r="D26" s="193">
        <v>6136954.1177611798</v>
      </c>
      <c r="E26" s="89">
        <v>41216</v>
      </c>
      <c r="F26" s="90">
        <v>42493</v>
      </c>
      <c r="G26" s="89">
        <v>43208</v>
      </c>
      <c r="H26" s="91">
        <v>715</v>
      </c>
      <c r="I26" s="204">
        <v>961736.37133134098</v>
      </c>
      <c r="J26" s="204">
        <v>7098690.4890925204</v>
      </c>
      <c r="K26" s="204">
        <v>6300000</v>
      </c>
      <c r="L26" s="204">
        <v>987287.67123287683</v>
      </c>
      <c r="M26" s="205">
        <v>6326586</v>
      </c>
      <c r="N26" s="204">
        <v>6300000.0199999996</v>
      </c>
      <c r="O26" s="204">
        <v>2527755.2919320548</v>
      </c>
      <c r="P26" s="204">
        <f>+K26</f>
        <v>6300000</v>
      </c>
      <c r="Q26" s="204">
        <f t="shared" si="0"/>
        <v>188834.99854496121</v>
      </c>
      <c r="R26" s="204">
        <f t="shared" si="2"/>
        <v>6111165.0014550388</v>
      </c>
      <c r="S26" s="204">
        <f t="shared" si="3"/>
        <v>8638920.2933870926</v>
      </c>
    </row>
    <row r="27" spans="1:19">
      <c r="A27" s="86">
        <v>25</v>
      </c>
      <c r="B27" s="87" t="s">
        <v>379</v>
      </c>
      <c r="C27" s="88" t="s">
        <v>275</v>
      </c>
      <c r="D27" s="193">
        <v>6707688.4275875445</v>
      </c>
      <c r="E27" s="89">
        <v>41149</v>
      </c>
      <c r="F27" s="90">
        <v>42428</v>
      </c>
      <c r="G27" s="89">
        <v>43208</v>
      </c>
      <c r="H27" s="91">
        <v>780</v>
      </c>
      <c r="I27" s="204">
        <v>1146739.0626889393</v>
      </c>
      <c r="J27" s="204">
        <v>7854427.4902764838</v>
      </c>
      <c r="K27" s="204">
        <v>6922356</v>
      </c>
      <c r="L27" s="204">
        <v>1183438.3956164382</v>
      </c>
      <c r="M27" s="205">
        <v>6914956</v>
      </c>
      <c r="N27" s="204">
        <v>6922356</v>
      </c>
      <c r="O27" s="204">
        <v>2863030.3504657531</v>
      </c>
      <c r="P27" s="204">
        <f>+K27</f>
        <v>6922356</v>
      </c>
      <c r="Q27" s="204">
        <f t="shared" si="0"/>
        <v>207489.3786012223</v>
      </c>
      <c r="R27" s="204">
        <f t="shared" si="2"/>
        <v>6714866.6213987777</v>
      </c>
      <c r="S27" s="204">
        <f t="shared" si="3"/>
        <v>9577896.9718645308</v>
      </c>
    </row>
    <row r="28" spans="1:19">
      <c r="A28" s="86">
        <v>26</v>
      </c>
      <c r="B28" s="87" t="s">
        <v>380</v>
      </c>
      <c r="C28" s="88" t="s">
        <v>274</v>
      </c>
      <c r="D28" s="193">
        <v>4947133.5726064602</v>
      </c>
      <c r="E28" s="89">
        <v>40960</v>
      </c>
      <c r="F28" s="90">
        <v>42237</v>
      </c>
      <c r="G28" s="89">
        <v>43208</v>
      </c>
      <c r="H28" s="91">
        <v>971</v>
      </c>
      <c r="I28" s="204">
        <v>1052858.4545755337</v>
      </c>
      <c r="J28" s="204">
        <v>5999992.0271819942</v>
      </c>
      <c r="K28" s="204">
        <v>5100000</v>
      </c>
      <c r="L28" s="204">
        <v>1085391.7808219178</v>
      </c>
      <c r="M28" s="205">
        <v>5100000</v>
      </c>
      <c r="N28" s="204">
        <v>5100000</v>
      </c>
      <c r="O28" s="204">
        <v>2188054.7945205481</v>
      </c>
      <c r="P28" s="204">
        <f t="shared" si="1"/>
        <v>5100000</v>
      </c>
      <c r="Q28" s="204">
        <f t="shared" si="0"/>
        <v>152866.42739353981</v>
      </c>
      <c r="R28" s="204">
        <f t="shared" si="2"/>
        <v>4947133.5726064602</v>
      </c>
      <c r="S28" s="204">
        <f t="shared" si="3"/>
        <v>7135188.3671270087</v>
      </c>
    </row>
    <row r="29" spans="1:19">
      <c r="A29" s="86">
        <v>27</v>
      </c>
      <c r="B29" s="87" t="s">
        <v>381</v>
      </c>
      <c r="C29" s="88" t="s">
        <v>273</v>
      </c>
      <c r="D29" s="193">
        <v>6761590.8429527599</v>
      </c>
      <c r="E29" s="89">
        <v>41148</v>
      </c>
      <c r="F29" s="90">
        <v>42427</v>
      </c>
      <c r="G29" s="89">
        <v>43208</v>
      </c>
      <c r="H29" s="91">
        <v>781</v>
      </c>
      <c r="I29" s="204">
        <v>1157436.1530621601</v>
      </c>
      <c r="J29" s="204">
        <v>7919026.9960149201</v>
      </c>
      <c r="K29" s="204">
        <v>6970524</v>
      </c>
      <c r="L29" s="204">
        <v>1193200.9301917809</v>
      </c>
      <c r="M29" s="205">
        <v>6970524</v>
      </c>
      <c r="N29" s="204">
        <v>6970523.04</v>
      </c>
      <c r="O29" s="204">
        <v>2890833.5908909589</v>
      </c>
      <c r="P29" s="204">
        <f t="shared" si="1"/>
        <v>6970524</v>
      </c>
      <c r="Q29" s="204">
        <f t="shared" si="0"/>
        <v>208933.15704724006</v>
      </c>
      <c r="R29" s="204">
        <f t="shared" si="2"/>
        <v>6761590.8429527599</v>
      </c>
      <c r="S29" s="204">
        <f t="shared" si="3"/>
        <v>9652424.4338437188</v>
      </c>
    </row>
    <row r="30" spans="1:19">
      <c r="A30" s="86">
        <v>28</v>
      </c>
      <c r="B30" s="87" t="s">
        <v>84</v>
      </c>
      <c r="C30" s="88" t="s">
        <v>85</v>
      </c>
      <c r="D30" s="193">
        <v>3401328.9358812687</v>
      </c>
      <c r="E30" s="89">
        <v>41036</v>
      </c>
      <c r="F30" s="90">
        <v>42315</v>
      </c>
      <c r="G30" s="89">
        <v>43208</v>
      </c>
      <c r="H30" s="91">
        <v>893</v>
      </c>
      <c r="I30" s="204">
        <v>665728.60049139138</v>
      </c>
      <c r="J30" s="204">
        <v>4067057.5363726602</v>
      </c>
      <c r="K30" s="204">
        <v>3506430</v>
      </c>
      <c r="L30" s="204">
        <v>686299.61424657539</v>
      </c>
      <c r="M30" s="205">
        <v>4257131</v>
      </c>
      <c r="N30" s="204">
        <v>4257131</v>
      </c>
      <c r="O30" s="204">
        <v>1825912.5036712326</v>
      </c>
      <c r="P30" s="204">
        <f>+K30</f>
        <v>3506430</v>
      </c>
      <c r="Q30" s="204">
        <f t="shared" si="0"/>
        <v>105101.0641187313</v>
      </c>
      <c r="R30" s="204">
        <f t="shared" si="2"/>
        <v>3401328.9358812687</v>
      </c>
      <c r="S30" s="204">
        <f t="shared" si="3"/>
        <v>5227241.4395525008</v>
      </c>
    </row>
    <row r="31" spans="1:19">
      <c r="A31" s="86">
        <v>29</v>
      </c>
      <c r="B31" s="87" t="s">
        <v>382</v>
      </c>
      <c r="C31" s="88" t="s">
        <v>272</v>
      </c>
      <c r="D31" s="193">
        <v>5860813.851974003</v>
      </c>
      <c r="E31" s="89">
        <v>41149</v>
      </c>
      <c r="F31" s="90">
        <v>42428</v>
      </c>
      <c r="G31" s="89">
        <v>43208</v>
      </c>
      <c r="H31" s="91">
        <v>780</v>
      </c>
      <c r="I31" s="204">
        <v>1001958.3133237747</v>
      </c>
      <c r="J31" s="204">
        <v>6862772.1652977774</v>
      </c>
      <c r="K31" s="204">
        <v>6041913</v>
      </c>
      <c r="L31" s="204">
        <v>1032918.8252054794</v>
      </c>
      <c r="M31" s="205">
        <v>6041913</v>
      </c>
      <c r="N31" s="204">
        <v>6041913</v>
      </c>
      <c r="O31" s="204">
        <v>2532808.9613150684</v>
      </c>
      <c r="P31" s="204">
        <f t="shared" si="1"/>
        <v>6041913</v>
      </c>
      <c r="Q31" s="204">
        <f t="shared" si="0"/>
        <v>181099.14802599698</v>
      </c>
      <c r="R31" s="204">
        <f t="shared" si="2"/>
        <v>5860813.851974003</v>
      </c>
      <c r="S31" s="204">
        <f t="shared" si="3"/>
        <v>8393622.8132890724</v>
      </c>
    </row>
    <row r="32" spans="1:19">
      <c r="A32" s="86">
        <v>30</v>
      </c>
      <c r="B32" s="87" t="s">
        <v>383</v>
      </c>
      <c r="C32" s="88" t="s">
        <v>384</v>
      </c>
      <c r="D32" s="193">
        <v>6820610.1464739544</v>
      </c>
      <c r="E32" s="89">
        <v>41102</v>
      </c>
      <c r="F32" s="90">
        <v>42381</v>
      </c>
      <c r="G32" s="89">
        <v>43208</v>
      </c>
      <c r="H32" s="91">
        <v>827</v>
      </c>
      <c r="I32" s="204">
        <v>1236305.6638101833</v>
      </c>
      <c r="J32" s="204">
        <v>8056915.8102841377</v>
      </c>
      <c r="K32" s="204">
        <v>7031366</v>
      </c>
      <c r="L32" s="204">
        <v>1274507.3275616439</v>
      </c>
      <c r="M32" s="205">
        <v>7031367</v>
      </c>
      <c r="N32" s="204">
        <v>7031366.46</v>
      </c>
      <c r="O32" s="204">
        <v>3146370.746809863</v>
      </c>
      <c r="P32" s="204">
        <f>+K32</f>
        <v>7031366</v>
      </c>
      <c r="Q32" s="204">
        <f t="shared" si="0"/>
        <v>210756.82355223596</v>
      </c>
      <c r="R32" s="204">
        <f t="shared" si="2"/>
        <v>6820609.176447764</v>
      </c>
      <c r="S32" s="204">
        <f t="shared" si="3"/>
        <v>9966979.9232576266</v>
      </c>
    </row>
    <row r="33" spans="1:19">
      <c r="A33" s="86">
        <v>31</v>
      </c>
      <c r="B33" s="87" t="s">
        <v>90</v>
      </c>
      <c r="C33" s="88" t="s">
        <v>271</v>
      </c>
      <c r="D33" s="193">
        <v>4962222.3300029095</v>
      </c>
      <c r="E33" s="89">
        <v>41290</v>
      </c>
      <c r="F33" s="90">
        <v>42567</v>
      </c>
      <c r="G33" s="89">
        <v>43208</v>
      </c>
      <c r="H33" s="91">
        <v>641</v>
      </c>
      <c r="I33" s="204">
        <v>697158.24954123062</v>
      </c>
      <c r="J33" s="204">
        <v>5659380.57954414</v>
      </c>
      <c r="K33" s="204">
        <v>5115555</v>
      </c>
      <c r="L33" s="204">
        <v>718700.43945205491</v>
      </c>
      <c r="M33" s="205">
        <v>5115555</v>
      </c>
      <c r="N33" s="204">
        <v>5115555.01</v>
      </c>
      <c r="O33" s="204">
        <v>2325742.8258652054</v>
      </c>
      <c r="P33" s="204">
        <f t="shared" si="1"/>
        <v>5115555</v>
      </c>
      <c r="Q33" s="204">
        <f t="shared" si="0"/>
        <v>153332.66999709047</v>
      </c>
      <c r="R33" s="204">
        <f t="shared" si="2"/>
        <v>4962222.3300029095</v>
      </c>
      <c r="S33" s="204">
        <f t="shared" si="3"/>
        <v>7287965.1558681149</v>
      </c>
    </row>
    <row r="34" spans="1:19">
      <c r="A34" s="86">
        <v>32</v>
      </c>
      <c r="B34" s="87" t="s">
        <v>385</v>
      </c>
      <c r="C34" s="88" t="s">
        <v>89</v>
      </c>
      <c r="D34" s="193">
        <v>4848296.6340091182</v>
      </c>
      <c r="E34" s="89">
        <v>41011</v>
      </c>
      <c r="F34" s="90">
        <v>42289</v>
      </c>
      <c r="G34" s="89">
        <v>43208</v>
      </c>
      <c r="H34" s="91">
        <v>919</v>
      </c>
      <c r="I34" s="204">
        <v>976566.48912972701</v>
      </c>
      <c r="J34" s="204">
        <v>5824863.123138845</v>
      </c>
      <c r="K34" s="204">
        <v>4998109</v>
      </c>
      <c r="L34" s="204">
        <v>1006742.3936438354</v>
      </c>
      <c r="M34" s="205">
        <v>4998109</v>
      </c>
      <c r="N34" s="204">
        <v>4998109</v>
      </c>
      <c r="O34" s="204">
        <v>2299676.5564931501</v>
      </c>
      <c r="P34" s="204">
        <f t="shared" si="1"/>
        <v>4998109</v>
      </c>
      <c r="Q34" s="204">
        <f t="shared" si="0"/>
        <v>149812.36599088181</v>
      </c>
      <c r="R34" s="204">
        <f t="shared" si="2"/>
        <v>4848296.6340091182</v>
      </c>
      <c r="S34" s="204">
        <f t="shared" si="3"/>
        <v>7147973.1905022683</v>
      </c>
    </row>
    <row r="35" spans="1:19">
      <c r="A35" s="86">
        <v>33</v>
      </c>
      <c r="B35" s="87" t="s">
        <v>255</v>
      </c>
      <c r="C35" s="88" t="s">
        <v>298</v>
      </c>
      <c r="D35" s="193">
        <v>6739551.8478998933</v>
      </c>
      <c r="E35" s="89">
        <v>41156</v>
      </c>
      <c r="F35" s="90">
        <v>42433</v>
      </c>
      <c r="G35" s="89">
        <v>43208</v>
      </c>
      <c r="H35" s="91">
        <v>775</v>
      </c>
      <c r="I35" s="204">
        <v>1144800.5878624476</v>
      </c>
      <c r="J35" s="204">
        <v>7884352.4357623411</v>
      </c>
      <c r="K35" s="204">
        <v>6955377</v>
      </c>
      <c r="L35" s="204">
        <v>1181461.2986301372</v>
      </c>
      <c r="M35" s="205">
        <v>6947708</v>
      </c>
      <c r="N35" s="204">
        <v>6955476</v>
      </c>
      <c r="O35" s="204">
        <v>2978982.6586301364</v>
      </c>
      <c r="P35" s="204">
        <f>+K35</f>
        <v>6955377</v>
      </c>
      <c r="Q35" s="204">
        <f t="shared" ref="Q35:Q66" si="5">+K35-R35</f>
        <v>208479.1437578816</v>
      </c>
      <c r="R35" s="204">
        <f t="shared" si="2"/>
        <v>6746897.8562421184</v>
      </c>
      <c r="S35" s="204">
        <f t="shared" si="3"/>
        <v>9725880.5148722548</v>
      </c>
    </row>
    <row r="36" spans="1:19">
      <c r="A36" s="86">
        <v>34</v>
      </c>
      <c r="B36" s="87" t="s">
        <v>386</v>
      </c>
      <c r="C36" s="88" t="s">
        <v>57</v>
      </c>
      <c r="D36" s="193">
        <v>6327933.844213794</v>
      </c>
      <c r="E36" s="89">
        <v>40651</v>
      </c>
      <c r="F36" s="90">
        <v>41930</v>
      </c>
      <c r="G36" s="89">
        <v>43208</v>
      </c>
      <c r="H36" s="91">
        <v>1278</v>
      </c>
      <c r="I36" s="204">
        <v>1772514.948581968</v>
      </c>
      <c r="J36" s="204">
        <v>8100448.7927957624</v>
      </c>
      <c r="K36" s="204">
        <v>6523458</v>
      </c>
      <c r="L36" s="204">
        <v>1827283.1395068495</v>
      </c>
      <c r="M36" s="205">
        <v>6523467</v>
      </c>
      <c r="N36" s="204">
        <v>6523468</v>
      </c>
      <c r="O36" s="204">
        <v>2818933.7106849314</v>
      </c>
      <c r="P36" s="204">
        <f>+K36</f>
        <v>6523458</v>
      </c>
      <c r="Q36" s="204">
        <f t="shared" si="5"/>
        <v>195532.88602192234</v>
      </c>
      <c r="R36" s="204">
        <f t="shared" si="2"/>
        <v>6327925.1139780777</v>
      </c>
      <c r="S36" s="204">
        <f t="shared" si="3"/>
        <v>9146858.8246630095</v>
      </c>
    </row>
    <row r="37" spans="1:19">
      <c r="A37" s="86">
        <v>35</v>
      </c>
      <c r="B37" s="87" t="s">
        <v>254</v>
      </c>
      <c r="C37" s="88" t="s">
        <v>297</v>
      </c>
      <c r="D37" s="193">
        <v>5076323.6007372197</v>
      </c>
      <c r="E37" s="89">
        <v>41129</v>
      </c>
      <c r="F37" s="90">
        <v>42408</v>
      </c>
      <c r="G37" s="89">
        <v>43208</v>
      </c>
      <c r="H37" s="91">
        <v>800</v>
      </c>
      <c r="I37" s="204">
        <v>890095.0971155673</v>
      </c>
      <c r="J37" s="204">
        <v>5966418.6978527866</v>
      </c>
      <c r="K37" s="204">
        <v>5233179</v>
      </c>
      <c r="L37" s="204">
        <v>917598.50958904112</v>
      </c>
      <c r="M37" s="205">
        <v>5233182</v>
      </c>
      <c r="N37" s="204">
        <v>5233181</v>
      </c>
      <c r="O37" s="204">
        <v>2385999.9734794521</v>
      </c>
      <c r="P37" s="204">
        <f>+K37</f>
        <v>5233179</v>
      </c>
      <c r="Q37" s="204">
        <f t="shared" si="5"/>
        <v>156858.30934135243</v>
      </c>
      <c r="R37" s="204">
        <f t="shared" si="2"/>
        <v>5076320.6906586476</v>
      </c>
      <c r="S37" s="204">
        <f t="shared" si="3"/>
        <v>7462320.6641380992</v>
      </c>
    </row>
    <row r="38" spans="1:19">
      <c r="A38" s="86">
        <v>36</v>
      </c>
      <c r="B38" s="87" t="s">
        <v>257</v>
      </c>
      <c r="C38" s="88" t="s">
        <v>296</v>
      </c>
      <c r="D38" s="193">
        <v>5185122.7083131243</v>
      </c>
      <c r="E38" s="89">
        <v>41046</v>
      </c>
      <c r="F38" s="90">
        <v>42325</v>
      </c>
      <c r="G38" s="89">
        <v>43208</v>
      </c>
      <c r="H38" s="91">
        <v>883</v>
      </c>
      <c r="I38" s="204">
        <v>1003498.8167540797</v>
      </c>
      <c r="J38" s="204">
        <v>6188621.5250672037</v>
      </c>
      <c r="K38" s="204">
        <v>5345343</v>
      </c>
      <c r="L38" s="204">
        <v>1034506.9301917809</v>
      </c>
      <c r="M38" s="205">
        <v>5345343</v>
      </c>
      <c r="N38" s="204">
        <v>5345343</v>
      </c>
      <c r="O38" s="204">
        <v>2352574.2132602739</v>
      </c>
      <c r="P38" s="204">
        <f t="shared" si="1"/>
        <v>5345343</v>
      </c>
      <c r="Q38" s="204">
        <f t="shared" si="5"/>
        <v>160220.29168687575</v>
      </c>
      <c r="R38" s="204">
        <f t="shared" si="2"/>
        <v>5185122.7083131243</v>
      </c>
      <c r="S38" s="204">
        <f t="shared" si="3"/>
        <v>7537696.9215733986</v>
      </c>
    </row>
    <row r="39" spans="1:19">
      <c r="A39" s="86">
        <v>37</v>
      </c>
      <c r="B39" s="87" t="s">
        <v>256</v>
      </c>
      <c r="C39" s="88" t="s">
        <v>295</v>
      </c>
      <c r="D39" s="193">
        <v>5185122.7083131243</v>
      </c>
      <c r="E39" s="89">
        <v>41046</v>
      </c>
      <c r="F39" s="90">
        <v>42325</v>
      </c>
      <c r="G39" s="89">
        <v>43208</v>
      </c>
      <c r="H39" s="91">
        <v>883</v>
      </c>
      <c r="I39" s="204">
        <v>1003498.8167540797</v>
      </c>
      <c r="J39" s="204">
        <v>6188621.5250672037</v>
      </c>
      <c r="K39" s="204">
        <v>5345343</v>
      </c>
      <c r="L39" s="204">
        <v>1034506.9301917809</v>
      </c>
      <c r="M39" s="205">
        <v>5345341</v>
      </c>
      <c r="N39" s="204">
        <v>5345343</v>
      </c>
      <c r="O39" s="204">
        <v>2351916.5957260276</v>
      </c>
      <c r="P39" s="204">
        <f>+K39</f>
        <v>5345343</v>
      </c>
      <c r="Q39" s="204">
        <f t="shared" si="5"/>
        <v>160220.29168687575</v>
      </c>
      <c r="R39" s="204">
        <f t="shared" si="2"/>
        <v>5185122.7083131243</v>
      </c>
      <c r="S39" s="204">
        <f t="shared" si="3"/>
        <v>7537039.3040391523</v>
      </c>
    </row>
    <row r="40" spans="1:19">
      <c r="A40" s="86">
        <v>38</v>
      </c>
      <c r="B40" s="87" t="s">
        <v>387</v>
      </c>
      <c r="C40" s="88" t="s">
        <v>294</v>
      </c>
      <c r="D40" s="193">
        <v>6615331.2639441267</v>
      </c>
      <c r="E40" s="89">
        <v>41317</v>
      </c>
      <c r="F40" s="90">
        <v>42594</v>
      </c>
      <c r="G40" s="89">
        <v>43208</v>
      </c>
      <c r="H40" s="91">
        <v>614</v>
      </c>
      <c r="I40" s="204">
        <v>890260.47036968626</v>
      </c>
      <c r="J40" s="204">
        <v>7505591.734313813</v>
      </c>
      <c r="K40" s="204">
        <v>6831572</v>
      </c>
      <c r="L40" s="204">
        <v>919361.14147945202</v>
      </c>
      <c r="M40" s="205">
        <v>6819745</v>
      </c>
      <c r="N40" s="204">
        <v>6831572</v>
      </c>
      <c r="O40" s="204">
        <v>2760913.6284931507</v>
      </c>
      <c r="P40" s="204">
        <f>+K40</f>
        <v>6831572</v>
      </c>
      <c r="Q40" s="204">
        <f t="shared" si="5"/>
        <v>204768.23629838042</v>
      </c>
      <c r="R40" s="204">
        <f t="shared" si="2"/>
        <v>6626803.7637016196</v>
      </c>
      <c r="S40" s="204">
        <f t="shared" si="3"/>
        <v>9387717.3921947703</v>
      </c>
    </row>
    <row r="41" spans="1:19">
      <c r="A41" s="86">
        <v>39</v>
      </c>
      <c r="B41" s="87" t="s">
        <v>388</v>
      </c>
      <c r="C41" s="88" t="s">
        <v>293</v>
      </c>
      <c r="D41" s="193">
        <v>5698619.6527306233</v>
      </c>
      <c r="E41" s="89">
        <v>41199</v>
      </c>
      <c r="F41" s="90">
        <v>42477</v>
      </c>
      <c r="G41" s="89">
        <v>43208</v>
      </c>
      <c r="H41" s="91">
        <v>731</v>
      </c>
      <c r="I41" s="204">
        <v>913028.15696352557</v>
      </c>
      <c r="J41" s="204">
        <v>6611647.8096941486</v>
      </c>
      <c r="K41" s="204">
        <v>6370724</v>
      </c>
      <c r="L41" s="204">
        <v>1020712.1630684931</v>
      </c>
      <c r="M41" s="205">
        <v>5874707</v>
      </c>
      <c r="N41" s="204">
        <v>5874706</v>
      </c>
      <c r="O41" s="204">
        <v>2582702.1306301365</v>
      </c>
      <c r="P41" s="204">
        <f t="shared" si="1"/>
        <v>5874707</v>
      </c>
      <c r="Q41" s="204">
        <f t="shared" si="5"/>
        <v>672104.34726937674</v>
      </c>
      <c r="R41" s="204">
        <f t="shared" si="2"/>
        <v>5698619.6527306233</v>
      </c>
      <c r="S41" s="204">
        <f t="shared" si="3"/>
        <v>8281321.7833607597</v>
      </c>
    </row>
    <row r="42" spans="1:19">
      <c r="A42" s="86">
        <v>40</v>
      </c>
      <c r="B42" s="87" t="s">
        <v>389</v>
      </c>
      <c r="C42" s="88" t="s">
        <v>292</v>
      </c>
      <c r="D42" s="193">
        <v>6856402.1728586666</v>
      </c>
      <c r="E42" s="89">
        <v>41291</v>
      </c>
      <c r="F42" s="90">
        <v>42568</v>
      </c>
      <c r="G42" s="89">
        <v>43208</v>
      </c>
      <c r="H42" s="91">
        <v>640</v>
      </c>
      <c r="I42" s="204">
        <v>961774.7705489418</v>
      </c>
      <c r="J42" s="204">
        <v>7818176.9434076082</v>
      </c>
      <c r="K42" s="204">
        <v>7080632</v>
      </c>
      <c r="L42" s="204">
        <v>993228.37917808222</v>
      </c>
      <c r="M42" s="205">
        <v>7068265</v>
      </c>
      <c r="N42" s="204">
        <v>7080631</v>
      </c>
      <c r="O42" s="204">
        <v>2886276.1865205476</v>
      </c>
      <c r="P42" s="204">
        <f>+K42</f>
        <v>7080632</v>
      </c>
      <c r="Q42" s="204">
        <f t="shared" si="5"/>
        <v>212233.51324085798</v>
      </c>
      <c r="R42" s="204">
        <f t="shared" si="2"/>
        <v>6868398.486759142</v>
      </c>
      <c r="S42" s="204">
        <f t="shared" si="3"/>
        <v>9754674.6732796896</v>
      </c>
    </row>
    <row r="43" spans="1:19">
      <c r="A43" s="86">
        <v>41</v>
      </c>
      <c r="B43" s="87" t="s">
        <v>390</v>
      </c>
      <c r="C43" s="88" t="s">
        <v>291</v>
      </c>
      <c r="D43" s="193">
        <v>5865808.5168299545</v>
      </c>
      <c r="E43" s="89">
        <v>40782</v>
      </c>
      <c r="F43" s="90">
        <v>42062</v>
      </c>
      <c r="G43" s="89">
        <v>43208</v>
      </c>
      <c r="H43" s="91">
        <v>1146</v>
      </c>
      <c r="I43" s="204">
        <v>1473362.5337615623</v>
      </c>
      <c r="J43" s="204">
        <v>7339171.0505915172</v>
      </c>
      <c r="K43" s="204">
        <v>6047061</v>
      </c>
      <c r="L43" s="204">
        <v>1518889.1848767123</v>
      </c>
      <c r="M43" s="205">
        <v>6047062</v>
      </c>
      <c r="N43" s="204">
        <v>6047061</v>
      </c>
      <c r="O43" s="204">
        <v>2588812.1635068497</v>
      </c>
      <c r="P43" s="204">
        <f>+K43</f>
        <v>6047061</v>
      </c>
      <c r="Q43" s="204">
        <f t="shared" si="5"/>
        <v>181253.45319623686</v>
      </c>
      <c r="R43" s="204">
        <f t="shared" si="2"/>
        <v>5865807.5468037631</v>
      </c>
      <c r="S43" s="204">
        <f t="shared" si="3"/>
        <v>8454619.7103106119</v>
      </c>
    </row>
    <row r="44" spans="1:19">
      <c r="A44" s="86">
        <v>42</v>
      </c>
      <c r="B44" s="87" t="s">
        <v>253</v>
      </c>
      <c r="C44" s="88" t="s">
        <v>290</v>
      </c>
      <c r="D44" s="193">
        <v>4231016.5874478612</v>
      </c>
      <c r="E44" s="89">
        <v>40843</v>
      </c>
      <c r="F44" s="90">
        <v>42121</v>
      </c>
      <c r="G44" s="89">
        <v>43208</v>
      </c>
      <c r="H44" s="91">
        <v>1087</v>
      </c>
      <c r="I44" s="204">
        <v>1008025.2121766192</v>
      </c>
      <c r="J44" s="204">
        <v>5239041.7996244803</v>
      </c>
      <c r="K44" s="204">
        <v>4361755</v>
      </c>
      <c r="L44" s="204">
        <v>1039173.1912328769</v>
      </c>
      <c r="M44" s="205">
        <v>4361755</v>
      </c>
      <c r="N44" s="204">
        <v>4361754</v>
      </c>
      <c r="O44" s="204">
        <v>1855057.2997260273</v>
      </c>
      <c r="P44" s="204">
        <f t="shared" si="1"/>
        <v>4361755</v>
      </c>
      <c r="Q44" s="204">
        <f t="shared" si="5"/>
        <v>130738.41255213879</v>
      </c>
      <c r="R44" s="204">
        <f t="shared" si="2"/>
        <v>4231016.5874478612</v>
      </c>
      <c r="S44" s="204">
        <f t="shared" si="3"/>
        <v>6086073.8871738883</v>
      </c>
    </row>
    <row r="45" spans="1:19">
      <c r="A45" s="86">
        <v>43</v>
      </c>
      <c r="B45" s="87" t="s">
        <v>391</v>
      </c>
      <c r="C45" s="88" t="s">
        <v>289</v>
      </c>
      <c r="D45" s="193">
        <v>4957159.7633136092</v>
      </c>
      <c r="E45" s="89">
        <v>40645</v>
      </c>
      <c r="F45" s="90">
        <v>41924</v>
      </c>
      <c r="G45" s="89">
        <v>43208</v>
      </c>
      <c r="H45" s="91">
        <v>1284</v>
      </c>
      <c r="I45" s="204">
        <v>1395066.9887330795</v>
      </c>
      <c r="J45" s="204">
        <v>6352226.7520466885</v>
      </c>
      <c r="K45" s="204">
        <v>5366378</v>
      </c>
      <c r="L45" s="204">
        <v>1510231.090849315</v>
      </c>
      <c r="M45" s="205">
        <v>4835336</v>
      </c>
      <c r="N45" s="204">
        <v>5318872</v>
      </c>
      <c r="O45" s="204">
        <v>2374183.9132054797</v>
      </c>
      <c r="P45" s="204">
        <f>+N45</f>
        <v>5318872</v>
      </c>
      <c r="Q45" s="204">
        <f t="shared" si="5"/>
        <v>206932.85498108435</v>
      </c>
      <c r="R45" s="204">
        <f t="shared" si="2"/>
        <v>5159445.1450189156</v>
      </c>
      <c r="S45" s="204">
        <f t="shared" si="3"/>
        <v>7533629.0582243949</v>
      </c>
    </row>
    <row r="46" spans="1:19">
      <c r="A46" s="86">
        <v>44</v>
      </c>
      <c r="B46" s="87" t="s">
        <v>258</v>
      </c>
      <c r="C46" s="88" t="s">
        <v>288</v>
      </c>
      <c r="D46" s="193">
        <v>5865808.5168299545</v>
      </c>
      <c r="E46" s="89">
        <v>41309</v>
      </c>
      <c r="F46" s="90">
        <v>42586</v>
      </c>
      <c r="G46" s="89">
        <v>43208</v>
      </c>
      <c r="H46" s="91">
        <v>622</v>
      </c>
      <c r="I46" s="204">
        <v>799678.44328070839</v>
      </c>
      <c r="J46" s="204">
        <v>6665486.9601106625</v>
      </c>
      <c r="K46" s="204">
        <v>6047062</v>
      </c>
      <c r="L46" s="204">
        <v>824388.50717808225</v>
      </c>
      <c r="M46" s="205">
        <v>6047062</v>
      </c>
      <c r="N46" s="204">
        <v>6047061</v>
      </c>
      <c r="O46" s="204">
        <v>2657261.9798356164</v>
      </c>
      <c r="P46" s="204">
        <f t="shared" si="1"/>
        <v>6047062</v>
      </c>
      <c r="Q46" s="204">
        <f t="shared" si="5"/>
        <v>181253.48317004554</v>
      </c>
      <c r="R46" s="204">
        <f t="shared" si="2"/>
        <v>5865808.5168299545</v>
      </c>
      <c r="S46" s="204">
        <f t="shared" si="3"/>
        <v>8523070.4966655709</v>
      </c>
    </row>
    <row r="47" spans="1:19">
      <c r="A47" s="86">
        <v>45</v>
      </c>
      <c r="B47" s="87" t="s">
        <v>392</v>
      </c>
      <c r="C47" s="88" t="s">
        <v>58</v>
      </c>
      <c r="D47" s="193">
        <v>7636227.5681443401</v>
      </c>
      <c r="E47" s="89">
        <v>41151</v>
      </c>
      <c r="F47" s="90">
        <v>42429</v>
      </c>
      <c r="G47" s="89">
        <v>43208</v>
      </c>
      <c r="H47" s="91">
        <v>779</v>
      </c>
      <c r="I47" s="204">
        <v>1303807.4028678227</v>
      </c>
      <c r="J47" s="204">
        <v>8940034.971012162</v>
      </c>
      <c r="K47" s="204">
        <v>8272186</v>
      </c>
      <c r="L47" s="204">
        <v>1412390.7712876713</v>
      </c>
      <c r="M47" s="205">
        <v>7872187</v>
      </c>
      <c r="N47" s="204">
        <v>7872187</v>
      </c>
      <c r="O47" s="204">
        <v>3272901.1647123275</v>
      </c>
      <c r="P47" s="204">
        <f t="shared" si="1"/>
        <v>7872187</v>
      </c>
      <c r="Q47" s="204">
        <f t="shared" si="5"/>
        <v>635958.43185565993</v>
      </c>
      <c r="R47" s="204">
        <f t="shared" si="2"/>
        <v>7636227.5681443401</v>
      </c>
      <c r="S47" s="204">
        <f t="shared" si="3"/>
        <v>10909128.732856669</v>
      </c>
    </row>
    <row r="48" spans="1:19">
      <c r="A48" s="86">
        <v>46</v>
      </c>
      <c r="B48" s="87" t="s">
        <v>56</v>
      </c>
      <c r="C48" s="88" t="s">
        <v>393</v>
      </c>
      <c r="D48" s="193">
        <v>6327936.7542923661</v>
      </c>
      <c r="E48" s="89">
        <v>40645</v>
      </c>
      <c r="F48" s="90">
        <v>41924</v>
      </c>
      <c r="G48" s="89">
        <v>43208</v>
      </c>
      <c r="H48" s="91">
        <v>1284</v>
      </c>
      <c r="I48" s="204">
        <v>1780837.433975101</v>
      </c>
      <c r="J48" s="204">
        <v>8108774.1882674675</v>
      </c>
      <c r="K48" s="204">
        <v>6538475</v>
      </c>
      <c r="L48" s="204">
        <v>1840088.0876712329</v>
      </c>
      <c r="M48" s="205">
        <v>6523470</v>
      </c>
      <c r="N48" s="204">
        <v>6523470</v>
      </c>
      <c r="O48" s="204">
        <v>2865807.8323287671</v>
      </c>
      <c r="P48" s="204">
        <f t="shared" si="1"/>
        <v>6523470</v>
      </c>
      <c r="Q48" s="204">
        <f t="shared" si="5"/>
        <v>210538.24570763391</v>
      </c>
      <c r="R48" s="204">
        <f t="shared" si="2"/>
        <v>6327936.7542923661</v>
      </c>
      <c r="S48" s="204">
        <f t="shared" si="3"/>
        <v>9193744.5866211336</v>
      </c>
    </row>
    <row r="49" spans="1:19">
      <c r="A49" s="86">
        <v>47</v>
      </c>
      <c r="B49" s="87" t="s">
        <v>54</v>
      </c>
      <c r="C49" s="88" t="s">
        <v>55</v>
      </c>
      <c r="D49" s="193">
        <v>7559225.9190998152</v>
      </c>
      <c r="E49" s="89">
        <v>41106</v>
      </c>
      <c r="F49" s="90">
        <v>42385</v>
      </c>
      <c r="G49" s="89">
        <v>43208</v>
      </c>
      <c r="H49" s="91">
        <v>823</v>
      </c>
      <c r="I49" s="204">
        <v>1363560.0945576215</v>
      </c>
      <c r="J49" s="204">
        <v>8922786.0136574358</v>
      </c>
      <c r="K49" s="204">
        <v>7440399.9900000002</v>
      </c>
      <c r="L49" s="204">
        <v>1342125.8502509589</v>
      </c>
      <c r="M49" s="205">
        <v>7792805</v>
      </c>
      <c r="N49" s="204">
        <v>7792805</v>
      </c>
      <c r="O49" s="204">
        <v>3211174.5435616439</v>
      </c>
      <c r="P49" s="204">
        <f>+K49</f>
        <v>7440399.9900000002</v>
      </c>
      <c r="Q49" s="204">
        <f t="shared" si="5"/>
        <v>223017.13036279008</v>
      </c>
      <c r="R49" s="204">
        <f t="shared" si="2"/>
        <v>7217382.8596372101</v>
      </c>
      <c r="S49" s="204">
        <f t="shared" si="3"/>
        <v>10428557.403198853</v>
      </c>
    </row>
    <row r="50" spans="1:19">
      <c r="A50" s="86">
        <v>48</v>
      </c>
      <c r="B50" s="87" t="s">
        <v>53</v>
      </c>
      <c r="C50" s="88" t="s">
        <v>394</v>
      </c>
      <c r="D50" s="193">
        <v>5513096.3236007374</v>
      </c>
      <c r="E50" s="89">
        <v>41158</v>
      </c>
      <c r="F50" s="90">
        <v>42435</v>
      </c>
      <c r="G50" s="89">
        <v>43208</v>
      </c>
      <c r="H50" s="91">
        <v>773</v>
      </c>
      <c r="I50" s="204">
        <v>934054.45657936879</v>
      </c>
      <c r="J50" s="204">
        <v>6447150.7801801059</v>
      </c>
      <c r="K50" s="204">
        <v>5704761</v>
      </c>
      <c r="L50" s="204">
        <v>966527.17873972596</v>
      </c>
      <c r="M50" s="205">
        <v>5683451</v>
      </c>
      <c r="N50" s="204">
        <v>5704761</v>
      </c>
      <c r="O50" s="204">
        <v>2509259.3806027402</v>
      </c>
      <c r="P50" s="204">
        <f>+K50</f>
        <v>5704761</v>
      </c>
      <c r="Q50" s="204">
        <f t="shared" si="5"/>
        <v>170993.41827529389</v>
      </c>
      <c r="R50" s="204">
        <f t="shared" si="2"/>
        <v>5533767.5817247061</v>
      </c>
      <c r="S50" s="204">
        <f t="shared" si="3"/>
        <v>8043026.9623274468</v>
      </c>
    </row>
    <row r="51" spans="1:19">
      <c r="A51" s="86">
        <v>49</v>
      </c>
      <c r="B51" s="87" t="s">
        <v>51</v>
      </c>
      <c r="C51" s="88" t="s">
        <v>52</v>
      </c>
      <c r="D51" s="193">
        <v>4076050.0533514405</v>
      </c>
      <c r="E51" s="89">
        <v>40781</v>
      </c>
      <c r="F51" s="90">
        <v>42061</v>
      </c>
      <c r="G51" s="89">
        <v>43208</v>
      </c>
      <c r="H51" s="91">
        <v>1147</v>
      </c>
      <c r="I51" s="204">
        <v>1024707.8161521319</v>
      </c>
      <c r="J51" s="204">
        <v>5100757.8695035726</v>
      </c>
      <c r="K51" s="204">
        <v>4202000</v>
      </c>
      <c r="L51" s="204">
        <v>1056371.2876712328</v>
      </c>
      <c r="M51" s="205">
        <v>4202000</v>
      </c>
      <c r="N51" s="204">
        <v>4202000</v>
      </c>
      <c r="O51" s="204">
        <v>1922793.9726027397</v>
      </c>
      <c r="P51" s="204">
        <f t="shared" si="1"/>
        <v>4202000</v>
      </c>
      <c r="Q51" s="204">
        <f t="shared" si="5"/>
        <v>125949.94664855953</v>
      </c>
      <c r="R51" s="204">
        <f t="shared" si="2"/>
        <v>4076050.0533514405</v>
      </c>
      <c r="S51" s="204">
        <f t="shared" si="3"/>
        <v>5998844.0259541804</v>
      </c>
    </row>
    <row r="52" spans="1:19">
      <c r="A52" s="86">
        <v>50</v>
      </c>
      <c r="B52" s="87" t="s">
        <v>49</v>
      </c>
      <c r="C52" s="88" t="s">
        <v>50</v>
      </c>
      <c r="D52" s="193">
        <v>8312541.4686196521</v>
      </c>
      <c r="E52" s="89">
        <v>41373</v>
      </c>
      <c r="F52" s="90">
        <v>42652</v>
      </c>
      <c r="G52" s="89">
        <v>43208</v>
      </c>
      <c r="H52" s="91">
        <v>556</v>
      </c>
      <c r="I52" s="204">
        <v>1012991.3548608278</v>
      </c>
      <c r="J52" s="204">
        <v>9325532.8234804794</v>
      </c>
      <c r="K52" s="204">
        <v>8569399</v>
      </c>
      <c r="L52" s="204">
        <v>1044292.7877260274</v>
      </c>
      <c r="M52" s="205">
        <v>8569399</v>
      </c>
      <c r="N52" s="204">
        <v>8569399</v>
      </c>
      <c r="O52" s="204">
        <v>3372023.2797808219</v>
      </c>
      <c r="P52" s="204">
        <f t="shared" si="1"/>
        <v>8569399</v>
      </c>
      <c r="Q52" s="204">
        <f t="shared" si="5"/>
        <v>256857.53138034791</v>
      </c>
      <c r="R52" s="204">
        <f t="shared" si="2"/>
        <v>8312541.4686196521</v>
      </c>
      <c r="S52" s="204">
        <f t="shared" si="3"/>
        <v>11684564.748400474</v>
      </c>
    </row>
    <row r="53" spans="1:19">
      <c r="A53" s="86">
        <v>51</v>
      </c>
      <c r="B53" s="87" t="s">
        <v>47</v>
      </c>
      <c r="C53" s="88" t="s">
        <v>48</v>
      </c>
      <c r="D53" s="193">
        <v>5513096.3236007374</v>
      </c>
      <c r="E53" s="89">
        <v>40645</v>
      </c>
      <c r="F53" s="90">
        <v>41924</v>
      </c>
      <c r="G53" s="89">
        <v>43208</v>
      </c>
      <c r="H53" s="91">
        <v>1284</v>
      </c>
      <c r="I53" s="204">
        <v>1551521.2448226514</v>
      </c>
      <c r="J53" s="204">
        <v>7064617.5684233885</v>
      </c>
      <c r="K53" s="204">
        <v>5705023</v>
      </c>
      <c r="L53" s="204">
        <v>1605534.1440000003</v>
      </c>
      <c r="M53" s="205">
        <v>5683451</v>
      </c>
      <c r="N53" s="204">
        <v>5683451</v>
      </c>
      <c r="O53" s="204">
        <v>2452858.8543561641</v>
      </c>
      <c r="P53" s="204">
        <f t="shared" si="1"/>
        <v>5683451</v>
      </c>
      <c r="Q53" s="204">
        <f t="shared" si="5"/>
        <v>191926.67639926262</v>
      </c>
      <c r="R53" s="204">
        <f t="shared" si="2"/>
        <v>5513096.3236007374</v>
      </c>
      <c r="S53" s="204">
        <f t="shared" si="3"/>
        <v>7965955.1779569015</v>
      </c>
    </row>
    <row r="54" spans="1:19">
      <c r="A54" s="86">
        <v>52</v>
      </c>
      <c r="B54" s="87" t="s">
        <v>395</v>
      </c>
      <c r="C54" s="88" t="s">
        <v>46</v>
      </c>
      <c r="D54" s="193">
        <v>5852386.264429139</v>
      </c>
      <c r="E54" s="89">
        <v>41092</v>
      </c>
      <c r="F54" s="90">
        <v>42371</v>
      </c>
      <c r="G54" s="89">
        <v>43208</v>
      </c>
      <c r="H54" s="91">
        <v>837</v>
      </c>
      <c r="I54" s="204">
        <v>1073632.2856607537</v>
      </c>
      <c r="J54" s="204">
        <v>6926018.5500898929</v>
      </c>
      <c r="K54" s="204">
        <v>6047062</v>
      </c>
      <c r="L54" s="204">
        <v>1109345.9493698631</v>
      </c>
      <c r="M54" s="205">
        <v>6033225</v>
      </c>
      <c r="N54" s="204">
        <v>6033223</v>
      </c>
      <c r="O54" s="204">
        <v>2555376.9012602735</v>
      </c>
      <c r="P54" s="204">
        <f t="shared" si="1"/>
        <v>6033225</v>
      </c>
      <c r="Q54" s="204">
        <f t="shared" si="5"/>
        <v>194675.73557086103</v>
      </c>
      <c r="R54" s="204">
        <f t="shared" si="2"/>
        <v>5852386.264429139</v>
      </c>
      <c r="S54" s="204">
        <f t="shared" si="3"/>
        <v>8407763.1656894125</v>
      </c>
    </row>
    <row r="55" spans="1:19">
      <c r="A55" s="86">
        <v>53</v>
      </c>
      <c r="B55" s="87" t="s">
        <v>396</v>
      </c>
      <c r="C55" s="88" t="s">
        <v>45</v>
      </c>
      <c r="D55" s="193">
        <v>5988667.1840139683</v>
      </c>
      <c r="E55" s="89">
        <v>41089</v>
      </c>
      <c r="F55" s="90">
        <v>42367</v>
      </c>
      <c r="G55" s="89">
        <v>43208</v>
      </c>
      <c r="H55" s="91">
        <v>841</v>
      </c>
      <c r="I55" s="204">
        <v>1103883.6387409859</v>
      </c>
      <c r="J55" s="204">
        <v>7092550.822754954</v>
      </c>
      <c r="K55" s="204">
        <v>6187246</v>
      </c>
      <c r="L55" s="204">
        <v>1140487.4270684931</v>
      </c>
      <c r="M55" s="205">
        <v>6173717</v>
      </c>
      <c r="N55" s="204">
        <v>6173715</v>
      </c>
      <c r="O55" s="204">
        <v>2754464.8236712329</v>
      </c>
      <c r="P55" s="204">
        <f t="shared" si="1"/>
        <v>6173717</v>
      </c>
      <c r="Q55" s="204">
        <f t="shared" si="5"/>
        <v>198578.81598603167</v>
      </c>
      <c r="R55" s="204">
        <f t="shared" si="2"/>
        <v>5988667.1840139683</v>
      </c>
      <c r="S55" s="204">
        <f t="shared" si="3"/>
        <v>8743132.0076852012</v>
      </c>
    </row>
    <row r="56" spans="1:19">
      <c r="A56" s="86">
        <v>54</v>
      </c>
      <c r="B56" s="87" t="s">
        <v>397</v>
      </c>
      <c r="C56" s="88" t="s">
        <v>44</v>
      </c>
      <c r="D56" s="193">
        <v>5513033.2718983414</v>
      </c>
      <c r="E56" s="89">
        <v>41106</v>
      </c>
      <c r="F56" s="90">
        <v>42385</v>
      </c>
      <c r="G56" s="89">
        <v>43208</v>
      </c>
      <c r="H56" s="91">
        <v>823</v>
      </c>
      <c r="I56" s="204">
        <v>994460.57704599132</v>
      </c>
      <c r="J56" s="204">
        <v>6507493.8489443325</v>
      </c>
      <c r="K56" s="204">
        <v>5683384</v>
      </c>
      <c r="L56" s="204">
        <v>1025189.048109589</v>
      </c>
      <c r="M56" s="205">
        <v>5683386</v>
      </c>
      <c r="N56" s="204">
        <v>5683334</v>
      </c>
      <c r="O56" s="204">
        <v>2598579.0235616434</v>
      </c>
      <c r="P56" s="204">
        <f>+K56</f>
        <v>5683384</v>
      </c>
      <c r="Q56" s="204">
        <f t="shared" si="5"/>
        <v>170352.66815404035</v>
      </c>
      <c r="R56" s="204">
        <f t="shared" si="2"/>
        <v>5513031.3318459596</v>
      </c>
      <c r="S56" s="204">
        <f t="shared" si="3"/>
        <v>8111610.3554076031</v>
      </c>
    </row>
    <row r="57" spans="1:19">
      <c r="A57" s="86">
        <v>55</v>
      </c>
      <c r="B57" s="87" t="s">
        <v>35</v>
      </c>
      <c r="C57" s="88" t="s">
        <v>36</v>
      </c>
      <c r="D57" s="193">
        <v>5613345.6203317484</v>
      </c>
      <c r="E57" s="89">
        <v>40975</v>
      </c>
      <c r="F57" s="90">
        <v>42254</v>
      </c>
      <c r="G57" s="89">
        <v>43208</v>
      </c>
      <c r="H57" s="91">
        <v>954</v>
      </c>
      <c r="I57" s="204">
        <v>1173727.5006677231</v>
      </c>
      <c r="J57" s="204">
        <v>6787073.1209994713</v>
      </c>
      <c r="K57" s="204">
        <v>5786798</v>
      </c>
      <c r="L57" s="204">
        <v>1209995.6804383562</v>
      </c>
      <c r="M57" s="205">
        <v>5786798</v>
      </c>
      <c r="N57" s="204">
        <v>5786798</v>
      </c>
      <c r="O57" s="204">
        <v>2514495.7663561637</v>
      </c>
      <c r="P57" s="204">
        <f t="shared" si="1"/>
        <v>5786798</v>
      </c>
      <c r="Q57" s="204">
        <f t="shared" si="5"/>
        <v>173452.37966825161</v>
      </c>
      <c r="R57" s="204">
        <f t="shared" si="2"/>
        <v>5613345.6203317484</v>
      </c>
      <c r="S57" s="204">
        <f t="shared" si="3"/>
        <v>8127841.386687912</v>
      </c>
    </row>
    <row r="58" spans="1:19">
      <c r="A58" s="86">
        <v>56</v>
      </c>
      <c r="B58" s="87" t="s">
        <v>398</v>
      </c>
      <c r="C58" s="88" t="s">
        <v>37</v>
      </c>
      <c r="D58" s="193">
        <v>5513032.30187215</v>
      </c>
      <c r="E58" s="89">
        <v>41139</v>
      </c>
      <c r="F58" s="90">
        <v>42418</v>
      </c>
      <c r="G58" s="89">
        <v>43208</v>
      </c>
      <c r="H58" s="91">
        <v>790</v>
      </c>
      <c r="I58" s="204">
        <v>954585.31911868451</v>
      </c>
      <c r="J58" s="204">
        <v>6467617.6209908342</v>
      </c>
      <c r="K58" s="204">
        <v>5684630</v>
      </c>
      <c r="L58" s="204">
        <v>984297.57808219176</v>
      </c>
      <c r="M58" s="205">
        <v>5683385</v>
      </c>
      <c r="N58" s="204">
        <v>5683864</v>
      </c>
      <c r="O58" s="204">
        <v>2621103.4899726026</v>
      </c>
      <c r="P58" s="204">
        <f>+N58</f>
        <v>5683864</v>
      </c>
      <c r="Q58" s="204">
        <f t="shared" si="5"/>
        <v>171133.05558250099</v>
      </c>
      <c r="R58" s="204">
        <f t="shared" si="2"/>
        <v>5513496.944417499</v>
      </c>
      <c r="S58" s="204">
        <f t="shared" si="3"/>
        <v>8134600.4343901016</v>
      </c>
    </row>
    <row r="59" spans="1:19">
      <c r="A59" s="86">
        <v>57</v>
      </c>
      <c r="B59" s="87" t="s">
        <v>38</v>
      </c>
      <c r="C59" s="88" t="s">
        <v>39</v>
      </c>
      <c r="D59" s="193">
        <v>7502004.0741100004</v>
      </c>
      <c r="E59" s="89">
        <v>40968</v>
      </c>
      <c r="F59" s="90">
        <v>42245</v>
      </c>
      <c r="G59" s="89">
        <v>43208</v>
      </c>
      <c r="H59" s="91">
        <v>963</v>
      </c>
      <c r="I59" s="204">
        <v>1583436.695532697</v>
      </c>
      <c r="J59" s="204">
        <v>9085440.7696426976</v>
      </c>
      <c r="K59" s="204">
        <v>7733816</v>
      </c>
      <c r="L59" s="204">
        <v>1632364.8894246577</v>
      </c>
      <c r="M59" s="205">
        <v>7733816</v>
      </c>
      <c r="N59" s="204">
        <v>7733816</v>
      </c>
      <c r="O59" s="204">
        <v>3457320.9740273971</v>
      </c>
      <c r="P59" s="204">
        <f t="shared" si="1"/>
        <v>7733816</v>
      </c>
      <c r="Q59" s="204">
        <f t="shared" si="5"/>
        <v>231811.92588999961</v>
      </c>
      <c r="R59" s="204">
        <f t="shared" si="2"/>
        <v>7502004.0741100004</v>
      </c>
      <c r="S59" s="204">
        <f t="shared" si="3"/>
        <v>10959325.048137397</v>
      </c>
    </row>
    <row r="60" spans="1:19">
      <c r="A60" s="86">
        <v>58</v>
      </c>
      <c r="B60" s="87" t="s">
        <v>399</v>
      </c>
      <c r="C60" s="88" t="s">
        <v>40</v>
      </c>
      <c r="D60" s="193">
        <v>3589368.5129498495</v>
      </c>
      <c r="E60" s="89">
        <v>41052</v>
      </c>
      <c r="F60" s="90">
        <v>42331</v>
      </c>
      <c r="G60" s="89">
        <v>43208</v>
      </c>
      <c r="H60" s="91">
        <v>877</v>
      </c>
      <c r="I60" s="204">
        <v>689945.46539331903</v>
      </c>
      <c r="J60" s="204">
        <v>4279313.9783431683</v>
      </c>
      <c r="K60" s="204">
        <v>3820230</v>
      </c>
      <c r="L60" s="204">
        <v>734321.4706849315</v>
      </c>
      <c r="M60" s="205">
        <v>3700280</v>
      </c>
      <c r="N60" s="204">
        <v>3700280</v>
      </c>
      <c r="O60" s="204">
        <v>1687635.84</v>
      </c>
      <c r="P60" s="204">
        <f t="shared" si="1"/>
        <v>3700280</v>
      </c>
      <c r="Q60" s="204">
        <f t="shared" si="5"/>
        <v>230861.48705015052</v>
      </c>
      <c r="R60" s="204">
        <f t="shared" si="2"/>
        <v>3589368.5129498495</v>
      </c>
      <c r="S60" s="204">
        <f t="shared" si="3"/>
        <v>5277004.3529498493</v>
      </c>
    </row>
    <row r="61" spans="1:19">
      <c r="A61" s="86">
        <v>59</v>
      </c>
      <c r="B61" s="87" t="s">
        <v>400</v>
      </c>
      <c r="C61" s="88" t="s">
        <v>401</v>
      </c>
      <c r="D61" s="193">
        <v>4309090.1154331164</v>
      </c>
      <c r="E61" s="89">
        <v>41036</v>
      </c>
      <c r="F61" s="90">
        <v>42315</v>
      </c>
      <c r="G61" s="89">
        <v>43208</v>
      </c>
      <c r="H61" s="91">
        <v>893</v>
      </c>
      <c r="I61" s="204">
        <v>843401.08999052562</v>
      </c>
      <c r="J61" s="204">
        <v>5152491.2054236419</v>
      </c>
      <c r="K61" s="204">
        <v>4442279</v>
      </c>
      <c r="L61" s="204">
        <v>869469.62126027397</v>
      </c>
      <c r="M61" s="205">
        <v>4442281</v>
      </c>
      <c r="N61" s="204">
        <v>4442281</v>
      </c>
      <c r="O61" s="204">
        <v>1953464.4113972601</v>
      </c>
      <c r="P61" s="204">
        <f>+K61</f>
        <v>4442279</v>
      </c>
      <c r="Q61" s="204">
        <f t="shared" si="5"/>
        <v>133152.02357163653</v>
      </c>
      <c r="R61" s="204">
        <f t="shared" si="2"/>
        <v>4309126.9764283635</v>
      </c>
      <c r="S61" s="204">
        <f t="shared" si="3"/>
        <v>6262591.3878256232</v>
      </c>
    </row>
    <row r="62" spans="1:19">
      <c r="A62" s="86">
        <v>60</v>
      </c>
      <c r="B62" s="87" t="s">
        <v>402</v>
      </c>
      <c r="C62" s="88" t="s">
        <v>41</v>
      </c>
      <c r="D62" s="193">
        <v>7286729.0716849351</v>
      </c>
      <c r="E62" s="89">
        <v>41122</v>
      </c>
      <c r="F62" s="90">
        <v>42401</v>
      </c>
      <c r="G62" s="89">
        <v>43208</v>
      </c>
      <c r="H62" s="91">
        <v>807</v>
      </c>
      <c r="I62" s="204">
        <v>1288852.6818300807</v>
      </c>
      <c r="J62" s="204">
        <v>8575581.7535150163</v>
      </c>
      <c r="K62" s="204">
        <v>7528944</v>
      </c>
      <c r="L62" s="204">
        <v>1331694.8620273974</v>
      </c>
      <c r="M62" s="205">
        <v>7511889</v>
      </c>
      <c r="N62" s="204">
        <v>7511888</v>
      </c>
      <c r="O62" s="204">
        <v>3136629.7838904113</v>
      </c>
      <c r="P62" s="204">
        <f t="shared" si="1"/>
        <v>7511889</v>
      </c>
      <c r="Q62" s="204">
        <f t="shared" si="5"/>
        <v>242214.92831506487</v>
      </c>
      <c r="R62" s="204">
        <f t="shared" si="2"/>
        <v>7286729.0716849351</v>
      </c>
      <c r="S62" s="204">
        <f t="shared" si="3"/>
        <v>10423358.855575345</v>
      </c>
    </row>
    <row r="63" spans="1:19">
      <c r="A63" s="86">
        <v>61</v>
      </c>
      <c r="B63" s="87" t="s">
        <v>42</v>
      </c>
      <c r="C63" s="88" t="s">
        <v>43</v>
      </c>
      <c r="D63" s="193">
        <v>5011588.9029003782</v>
      </c>
      <c r="E63" s="89">
        <v>41318</v>
      </c>
      <c r="F63" s="90">
        <v>42595</v>
      </c>
      <c r="G63" s="89">
        <v>43208</v>
      </c>
      <c r="H63" s="91">
        <v>613</v>
      </c>
      <c r="I63" s="204">
        <v>673337.86246091651</v>
      </c>
      <c r="J63" s="204">
        <v>5684926.7653612951</v>
      </c>
      <c r="K63" s="204">
        <v>5194070</v>
      </c>
      <c r="L63" s="204">
        <v>697855.32273972605</v>
      </c>
      <c r="M63" s="205">
        <v>5166447</v>
      </c>
      <c r="N63" s="204">
        <v>5166447</v>
      </c>
      <c r="O63" s="204">
        <v>2327655.5416986304</v>
      </c>
      <c r="P63" s="204">
        <f t="shared" si="1"/>
        <v>5166447</v>
      </c>
      <c r="Q63" s="204">
        <f t="shared" si="5"/>
        <v>182481.09709962178</v>
      </c>
      <c r="R63" s="204">
        <f t="shared" si="2"/>
        <v>5011588.9029003782</v>
      </c>
      <c r="S63" s="204">
        <f t="shared" si="3"/>
        <v>7339244.4445990082</v>
      </c>
    </row>
    <row r="64" spans="1:19">
      <c r="A64" s="86">
        <v>62</v>
      </c>
      <c r="B64" s="87" t="s">
        <v>33</v>
      </c>
      <c r="C64" s="88" t="s">
        <v>34</v>
      </c>
      <c r="D64" s="193">
        <v>7084789.0193035211</v>
      </c>
      <c r="E64" s="89">
        <v>41076</v>
      </c>
      <c r="F64" s="90">
        <v>42354</v>
      </c>
      <c r="G64" s="89">
        <v>43208</v>
      </c>
      <c r="H64" s="91">
        <v>854</v>
      </c>
      <c r="I64" s="204">
        <v>1326117.2213666206</v>
      </c>
      <c r="J64" s="204">
        <v>8410906.2406701408</v>
      </c>
      <c r="K64" s="204">
        <v>7303874</v>
      </c>
      <c r="L64" s="204">
        <v>1367125.1278904111</v>
      </c>
      <c r="M64" s="205">
        <v>7303709</v>
      </c>
      <c r="N64" s="204">
        <v>7303910</v>
      </c>
      <c r="O64" s="204">
        <v>3166202.7574794521</v>
      </c>
      <c r="P64" s="204">
        <f>+K64</f>
        <v>7303874</v>
      </c>
      <c r="Q64" s="204">
        <f t="shared" si="5"/>
        <v>218924.92637501191</v>
      </c>
      <c r="R64" s="204">
        <f t="shared" si="2"/>
        <v>7084949.0736249881</v>
      </c>
      <c r="S64" s="204">
        <f t="shared" si="3"/>
        <v>10251151.831104441</v>
      </c>
    </row>
    <row r="65" spans="1:19">
      <c r="A65" s="86">
        <v>63</v>
      </c>
      <c r="B65" s="87" t="s">
        <v>31</v>
      </c>
      <c r="C65" s="88" t="s">
        <v>32</v>
      </c>
      <c r="D65" s="193">
        <v>5456896.886215928</v>
      </c>
      <c r="E65" s="89">
        <v>41151</v>
      </c>
      <c r="F65" s="90">
        <v>42429</v>
      </c>
      <c r="G65" s="89">
        <v>43208</v>
      </c>
      <c r="H65" s="91">
        <v>779</v>
      </c>
      <c r="I65" s="204">
        <v>931709.07931226469</v>
      </c>
      <c r="J65" s="204">
        <v>6388605.9655281929</v>
      </c>
      <c r="K65" s="204">
        <v>5643508</v>
      </c>
      <c r="L65" s="204">
        <v>963571.00975342467</v>
      </c>
      <c r="M65" s="205">
        <v>5625515</v>
      </c>
      <c r="N65" s="204">
        <v>5625514</v>
      </c>
      <c r="O65" s="204">
        <v>2457904.5448767124</v>
      </c>
      <c r="P65" s="204">
        <f t="shared" si="1"/>
        <v>5625515</v>
      </c>
      <c r="Q65" s="204">
        <f t="shared" si="5"/>
        <v>186611.11378407199</v>
      </c>
      <c r="R65" s="204">
        <f t="shared" si="2"/>
        <v>5456896.886215928</v>
      </c>
      <c r="S65" s="204">
        <f t="shared" si="3"/>
        <v>7914801.4310926404</v>
      </c>
    </row>
    <row r="66" spans="1:19">
      <c r="A66" s="86">
        <v>64</v>
      </c>
      <c r="B66" s="87" t="s">
        <v>29</v>
      </c>
      <c r="C66" s="88" t="s">
        <v>30</v>
      </c>
      <c r="D66" s="193">
        <v>6707689.3976137349</v>
      </c>
      <c r="E66" s="89">
        <v>41151</v>
      </c>
      <c r="F66" s="90">
        <v>42429</v>
      </c>
      <c r="G66" s="89">
        <v>43208</v>
      </c>
      <c r="H66" s="91">
        <v>779</v>
      </c>
      <c r="I66" s="204">
        <v>1145269.0500254466</v>
      </c>
      <c r="J66" s="204">
        <v>7852958.4476391813</v>
      </c>
      <c r="K66" s="204">
        <v>6914956</v>
      </c>
      <c r="L66" s="204">
        <v>1180657.6929315068</v>
      </c>
      <c r="M66" s="205">
        <v>6914957</v>
      </c>
      <c r="N66" s="204">
        <v>6914955</v>
      </c>
      <c r="O66" s="204">
        <v>2939899.9916712325</v>
      </c>
      <c r="P66" s="204">
        <f>+K66</f>
        <v>6914956</v>
      </c>
      <c r="Q66" s="204">
        <f t="shared" si="5"/>
        <v>207267.57241245545</v>
      </c>
      <c r="R66" s="204">
        <f t="shared" si="2"/>
        <v>6707688.4275875445</v>
      </c>
      <c r="S66" s="204">
        <f t="shared" si="3"/>
        <v>9647588.4192587771</v>
      </c>
    </row>
    <row r="67" spans="1:19">
      <c r="A67" s="86">
        <v>65</v>
      </c>
      <c r="B67" s="87" t="s">
        <v>403</v>
      </c>
      <c r="C67" s="88" t="s">
        <v>28</v>
      </c>
      <c r="D67" s="193">
        <v>5286930.837132602</v>
      </c>
      <c r="E67" s="89">
        <v>41057</v>
      </c>
      <c r="F67" s="90">
        <v>42336</v>
      </c>
      <c r="G67" s="89">
        <v>43208</v>
      </c>
      <c r="H67" s="91">
        <v>872</v>
      </c>
      <c r="I67" s="204">
        <v>1010455.6032832064</v>
      </c>
      <c r="J67" s="204">
        <v>6297386.440415808</v>
      </c>
      <c r="K67" s="204">
        <v>5454078</v>
      </c>
      <c r="L67" s="204">
        <v>1042401.3185753423</v>
      </c>
      <c r="M67" s="205">
        <v>5450297</v>
      </c>
      <c r="N67" s="204">
        <v>5450287</v>
      </c>
      <c r="O67" s="204">
        <v>2134850.5654794523</v>
      </c>
      <c r="P67" s="204">
        <f t="shared" si="1"/>
        <v>5450297</v>
      </c>
      <c r="Q67" s="204">
        <f t="shared" ref="Q67:Q98" si="6">+K67-R67</f>
        <v>167147.162867398</v>
      </c>
      <c r="R67" s="204">
        <f t="shared" si="2"/>
        <v>5286930.837132602</v>
      </c>
      <c r="S67" s="204">
        <f t="shared" si="3"/>
        <v>7421781.4026120547</v>
      </c>
    </row>
    <row r="68" spans="1:19">
      <c r="A68" s="86">
        <v>66</v>
      </c>
      <c r="B68" s="87" t="s">
        <v>26</v>
      </c>
      <c r="C68" s="88" t="s">
        <v>27</v>
      </c>
      <c r="D68" s="193">
        <v>6109435.444757008</v>
      </c>
      <c r="E68" s="89">
        <v>41162</v>
      </c>
      <c r="F68" s="90">
        <v>42439</v>
      </c>
      <c r="G68" s="89">
        <v>43208</v>
      </c>
      <c r="H68" s="91">
        <v>769</v>
      </c>
      <c r="I68" s="204">
        <v>1029732.7905793181</v>
      </c>
      <c r="J68" s="204">
        <v>7139168.2353363261</v>
      </c>
      <c r="K68" s="204">
        <v>6298217</v>
      </c>
      <c r="L68" s="204">
        <v>1061551.5338082192</v>
      </c>
      <c r="M68" s="205">
        <v>6298217</v>
      </c>
      <c r="N68" s="204">
        <v>6298217</v>
      </c>
      <c r="O68" s="204">
        <v>2817340.090958904</v>
      </c>
      <c r="P68" s="204">
        <f t="shared" ref="P68:P131" si="7">+M68</f>
        <v>6298217</v>
      </c>
      <c r="Q68" s="204">
        <f t="shared" si="6"/>
        <v>188781.55524299201</v>
      </c>
      <c r="R68" s="204">
        <f t="shared" ref="R68:R131" si="8">+P68*100/103.09</f>
        <v>6109435.444757008</v>
      </c>
      <c r="S68" s="204">
        <f t="shared" ref="S68:S131" si="9">+R68+O68</f>
        <v>8926775.5357159115</v>
      </c>
    </row>
    <row r="69" spans="1:19">
      <c r="A69" s="86">
        <v>67</v>
      </c>
      <c r="B69" s="87" t="s">
        <v>404</v>
      </c>
      <c r="C69" s="88" t="s">
        <v>25</v>
      </c>
      <c r="D69" s="193">
        <v>6258008.5362304784</v>
      </c>
      <c r="E69" s="89">
        <v>41011</v>
      </c>
      <c r="F69" s="90">
        <v>42289</v>
      </c>
      <c r="G69" s="89">
        <v>43208</v>
      </c>
      <c r="H69" s="91">
        <v>919</v>
      </c>
      <c r="I69" s="204">
        <v>1260517.2262566159</v>
      </c>
      <c r="J69" s="204">
        <v>7518525.7624870948</v>
      </c>
      <c r="K69" s="204">
        <v>6452381</v>
      </c>
      <c r="L69" s="204">
        <v>1299668.6332054795</v>
      </c>
      <c r="M69" s="205">
        <v>6451381</v>
      </c>
      <c r="N69" s="204">
        <v>6451381</v>
      </c>
      <c r="O69" s="204">
        <v>2825973.7803835622</v>
      </c>
      <c r="P69" s="204">
        <f>+K69</f>
        <v>6452381</v>
      </c>
      <c r="Q69" s="204">
        <f t="shared" si="6"/>
        <v>193402.43757881504</v>
      </c>
      <c r="R69" s="204">
        <f t="shared" si="8"/>
        <v>6258978.562421185</v>
      </c>
      <c r="S69" s="204">
        <f t="shared" si="9"/>
        <v>9084952.3428047467</v>
      </c>
    </row>
    <row r="70" spans="1:19">
      <c r="A70" s="86">
        <v>68</v>
      </c>
      <c r="B70" s="87" t="s">
        <v>268</v>
      </c>
      <c r="C70" s="88" t="s">
        <v>24</v>
      </c>
      <c r="D70" s="193">
        <v>5476364.3418372292</v>
      </c>
      <c r="E70" s="89">
        <v>41046</v>
      </c>
      <c r="F70" s="90">
        <v>42325</v>
      </c>
      <c r="G70" s="89">
        <v>43208</v>
      </c>
      <c r="H70" s="91">
        <v>883</v>
      </c>
      <c r="I70" s="204">
        <v>1059864.0468695392</v>
      </c>
      <c r="J70" s="204">
        <v>6536228.3887067679</v>
      </c>
      <c r="K70" s="204">
        <v>5658568</v>
      </c>
      <c r="L70" s="204">
        <v>1095126.6945753423</v>
      </c>
      <c r="M70" s="205">
        <v>5645584</v>
      </c>
      <c r="N70" s="204">
        <v>5645584</v>
      </c>
      <c r="O70" s="204">
        <v>2554189.8588493159</v>
      </c>
      <c r="P70" s="204">
        <f t="shared" si="7"/>
        <v>5645584</v>
      </c>
      <c r="Q70" s="204">
        <f t="shared" si="6"/>
        <v>182203.65816277079</v>
      </c>
      <c r="R70" s="204">
        <f t="shared" si="8"/>
        <v>5476364.3418372292</v>
      </c>
      <c r="S70" s="204">
        <f t="shared" si="9"/>
        <v>8030554.2006865451</v>
      </c>
    </row>
    <row r="71" spans="1:19">
      <c r="A71" s="86">
        <v>69</v>
      </c>
      <c r="B71" s="87" t="s">
        <v>22</v>
      </c>
      <c r="C71" s="88" t="s">
        <v>23</v>
      </c>
      <c r="D71" s="193">
        <v>6918812.6879425738</v>
      </c>
      <c r="E71" s="89">
        <v>41150</v>
      </c>
      <c r="F71" s="90">
        <v>42429</v>
      </c>
      <c r="G71" s="89">
        <v>43208</v>
      </c>
      <c r="H71" s="91">
        <v>779</v>
      </c>
      <c r="I71" s="204">
        <v>1181316.182774195</v>
      </c>
      <c r="J71" s="204">
        <v>8100128.8707167692</v>
      </c>
      <c r="K71" s="204">
        <v>7132604</v>
      </c>
      <c r="L71" s="204">
        <v>1217818.8528219177</v>
      </c>
      <c r="M71" s="205">
        <v>7132604</v>
      </c>
      <c r="N71" s="204">
        <v>7132604</v>
      </c>
      <c r="O71" s="204">
        <v>2966616.1516712331</v>
      </c>
      <c r="P71" s="204">
        <f t="shared" si="7"/>
        <v>7132604</v>
      </c>
      <c r="Q71" s="204">
        <f t="shared" si="6"/>
        <v>213791.3120574262</v>
      </c>
      <c r="R71" s="204">
        <f t="shared" si="8"/>
        <v>6918812.6879425738</v>
      </c>
      <c r="S71" s="204">
        <f t="shared" si="9"/>
        <v>9885428.8396138065</v>
      </c>
    </row>
    <row r="72" spans="1:19">
      <c r="A72" s="86">
        <v>70</v>
      </c>
      <c r="B72" s="87" t="s">
        <v>20</v>
      </c>
      <c r="C72" s="88" t="s">
        <v>21</v>
      </c>
      <c r="D72" s="193">
        <v>4848295.6639829278</v>
      </c>
      <c r="E72" s="89">
        <v>40653</v>
      </c>
      <c r="F72" s="90">
        <v>41932</v>
      </c>
      <c r="G72" s="89">
        <v>43208</v>
      </c>
      <c r="H72" s="91">
        <v>1276</v>
      </c>
      <c r="I72" s="204">
        <v>1355928.825696924</v>
      </c>
      <c r="J72" s="204">
        <v>6204224.4896798516</v>
      </c>
      <c r="K72" s="204">
        <v>5009756</v>
      </c>
      <c r="L72" s="204">
        <v>1401084.6369315069</v>
      </c>
      <c r="M72" s="205">
        <v>4998108</v>
      </c>
      <c r="N72" s="204">
        <v>4998109</v>
      </c>
      <c r="O72" s="204">
        <v>2237340.4903013702</v>
      </c>
      <c r="P72" s="204">
        <f t="shared" si="7"/>
        <v>4998108</v>
      </c>
      <c r="Q72" s="204">
        <f t="shared" si="6"/>
        <v>161460.3360170722</v>
      </c>
      <c r="R72" s="204">
        <f t="shared" si="8"/>
        <v>4848295.6639829278</v>
      </c>
      <c r="S72" s="204">
        <f t="shared" si="9"/>
        <v>7085636.1542842984</v>
      </c>
    </row>
    <row r="73" spans="1:19">
      <c r="A73" s="86">
        <v>71</v>
      </c>
      <c r="B73" s="87" t="s">
        <v>405</v>
      </c>
      <c r="C73" s="88" t="s">
        <v>103</v>
      </c>
      <c r="D73" s="193">
        <v>4367936.7542923661</v>
      </c>
      <c r="E73" s="89">
        <v>41103</v>
      </c>
      <c r="F73" s="90">
        <v>42382</v>
      </c>
      <c r="G73" s="89">
        <v>43208</v>
      </c>
      <c r="H73" s="91">
        <v>826</v>
      </c>
      <c r="I73" s="204">
        <v>790776.05677709461</v>
      </c>
      <c r="J73" s="204">
        <v>5158712.8110694606</v>
      </c>
      <c r="K73" s="204">
        <v>4567639</v>
      </c>
      <c r="L73" s="204">
        <v>826930.37019178085</v>
      </c>
      <c r="M73" s="205">
        <v>4502906</v>
      </c>
      <c r="N73" s="204">
        <v>4502906</v>
      </c>
      <c r="O73" s="204">
        <v>2024682.4504109591</v>
      </c>
      <c r="P73" s="204">
        <f t="shared" si="7"/>
        <v>4502906</v>
      </c>
      <c r="Q73" s="204">
        <f t="shared" si="6"/>
        <v>199702.24570763391</v>
      </c>
      <c r="R73" s="204">
        <f t="shared" si="8"/>
        <v>4367936.7542923661</v>
      </c>
      <c r="S73" s="204">
        <f t="shared" si="9"/>
        <v>6392619.2047033254</v>
      </c>
    </row>
    <row r="74" spans="1:19" ht="19.5" customHeight="1">
      <c r="A74" s="86">
        <v>72</v>
      </c>
      <c r="B74" s="87" t="s">
        <v>86</v>
      </c>
      <c r="C74" s="98" t="s">
        <v>406</v>
      </c>
      <c r="D74" s="193">
        <v>10015462.217479872</v>
      </c>
      <c r="E74" s="94">
        <v>41003</v>
      </c>
      <c r="F74" s="95">
        <v>42281</v>
      </c>
      <c r="G74" s="94">
        <v>43208</v>
      </c>
      <c r="H74" s="91">
        <v>927</v>
      </c>
      <c r="I74" s="204">
        <v>2034922.405611801</v>
      </c>
      <c r="J74" s="204">
        <v>12050384.623091672</v>
      </c>
      <c r="K74" s="204">
        <v>10324940</v>
      </c>
      <c r="L74" s="204">
        <v>2097801.5079452051</v>
      </c>
      <c r="M74" s="205">
        <v>12774123</v>
      </c>
      <c r="N74" s="204">
        <v>10324940</v>
      </c>
      <c r="O74" s="204">
        <v>4544340.4186301371</v>
      </c>
      <c r="P74" s="204">
        <f>+K74</f>
        <v>10324940</v>
      </c>
      <c r="Q74" s="204">
        <f t="shared" si="6"/>
        <v>309477.78252012841</v>
      </c>
      <c r="R74" s="204">
        <f t="shared" si="8"/>
        <v>10015462.217479872</v>
      </c>
      <c r="S74" s="204">
        <f t="shared" si="9"/>
        <v>14559802.636110008</v>
      </c>
    </row>
    <row r="75" spans="1:19">
      <c r="A75" s="86">
        <v>73</v>
      </c>
      <c r="B75" s="87" t="s">
        <v>104</v>
      </c>
      <c r="C75" s="88" t="s">
        <v>105</v>
      </c>
      <c r="D75" s="193">
        <v>5165513.6288679792</v>
      </c>
      <c r="E75" s="89">
        <v>41158</v>
      </c>
      <c r="F75" s="90">
        <v>42435</v>
      </c>
      <c r="G75" s="89">
        <v>43208</v>
      </c>
      <c r="H75" s="91">
        <v>773</v>
      </c>
      <c r="I75" s="204">
        <v>875165.37755944068</v>
      </c>
      <c r="J75" s="204">
        <v>6040679.0064274203</v>
      </c>
      <c r="K75" s="204">
        <v>5209986</v>
      </c>
      <c r="L75" s="204">
        <v>882700.09380821919</v>
      </c>
      <c r="M75" s="205">
        <v>5325128</v>
      </c>
      <c r="N75" s="204">
        <v>5325128</v>
      </c>
      <c r="O75" s="204">
        <v>2423597.0954520549</v>
      </c>
      <c r="P75" s="204">
        <v>5175128</v>
      </c>
      <c r="Q75" s="204">
        <f t="shared" si="6"/>
        <v>189976.29973809328</v>
      </c>
      <c r="R75" s="204">
        <f t="shared" si="8"/>
        <v>5020009.7002619067</v>
      </c>
      <c r="S75" s="204">
        <f t="shared" si="9"/>
        <v>7443606.7957139611</v>
      </c>
    </row>
    <row r="76" spans="1:19">
      <c r="A76" s="86">
        <v>74</v>
      </c>
      <c r="B76" s="87" t="s">
        <v>407</v>
      </c>
      <c r="C76" s="88" t="s">
        <v>106</v>
      </c>
      <c r="D76" s="193">
        <v>4848297.6040353086</v>
      </c>
      <c r="E76" s="89">
        <v>40996</v>
      </c>
      <c r="F76" s="90">
        <v>42275</v>
      </c>
      <c r="G76" s="89">
        <v>43208</v>
      </c>
      <c r="H76" s="91">
        <v>933</v>
      </c>
      <c r="I76" s="204">
        <v>991443.65250738489</v>
      </c>
      <c r="J76" s="204">
        <v>5839741.2565426938</v>
      </c>
      <c r="K76" s="204">
        <v>4998113</v>
      </c>
      <c r="L76" s="204">
        <v>1022079.874849315</v>
      </c>
      <c r="M76" s="205">
        <v>4998110</v>
      </c>
      <c r="N76" s="204">
        <v>4998112</v>
      </c>
      <c r="O76" s="204">
        <v>2265740.3533150684</v>
      </c>
      <c r="P76" s="204">
        <f>+K76</f>
        <v>4998113</v>
      </c>
      <c r="Q76" s="204">
        <f t="shared" si="6"/>
        <v>149812.48588611931</v>
      </c>
      <c r="R76" s="204">
        <f t="shared" si="8"/>
        <v>4848300.5141138807</v>
      </c>
      <c r="S76" s="204">
        <f t="shared" si="9"/>
        <v>7114040.8674289491</v>
      </c>
    </row>
    <row r="77" spans="1:19">
      <c r="A77" s="86">
        <v>75</v>
      </c>
      <c r="B77" s="87" t="s">
        <v>408</v>
      </c>
      <c r="C77" s="88" t="s">
        <v>107</v>
      </c>
      <c r="D77" s="193">
        <v>6714748.2782035116</v>
      </c>
      <c r="E77" s="89">
        <v>41148</v>
      </c>
      <c r="F77" s="90">
        <v>42427</v>
      </c>
      <c r="G77" s="89">
        <v>43208</v>
      </c>
      <c r="H77" s="91">
        <v>781</v>
      </c>
      <c r="I77" s="204">
        <v>1149417.7326634396</v>
      </c>
      <c r="J77" s="204">
        <v>7864166.0108669512</v>
      </c>
      <c r="K77" s="204">
        <v>6922234</v>
      </c>
      <c r="L77" s="204">
        <v>1184934.7406027396</v>
      </c>
      <c r="M77" s="205">
        <v>6922234</v>
      </c>
      <c r="N77" s="204">
        <v>6922234</v>
      </c>
      <c r="O77" s="204">
        <v>2858334.2318904111</v>
      </c>
      <c r="P77" s="204">
        <f t="shared" si="7"/>
        <v>6922234</v>
      </c>
      <c r="Q77" s="204">
        <f t="shared" si="6"/>
        <v>207485.72179648839</v>
      </c>
      <c r="R77" s="204">
        <f t="shared" si="8"/>
        <v>6714748.2782035116</v>
      </c>
      <c r="S77" s="204">
        <f t="shared" si="9"/>
        <v>9573082.5100939237</v>
      </c>
    </row>
    <row r="78" spans="1:19">
      <c r="A78" s="86">
        <v>76</v>
      </c>
      <c r="B78" s="87" t="s">
        <v>108</v>
      </c>
      <c r="C78" s="88" t="s">
        <v>109</v>
      </c>
      <c r="D78" s="193">
        <v>4780814.8220001934</v>
      </c>
      <c r="E78" s="89">
        <v>40657</v>
      </c>
      <c r="F78" s="90">
        <v>41936</v>
      </c>
      <c r="G78" s="89">
        <v>43208</v>
      </c>
      <c r="H78" s="91">
        <v>1272</v>
      </c>
      <c r="I78" s="204">
        <v>1332864.9761280539</v>
      </c>
      <c r="J78" s="204">
        <v>6113679.7981282473</v>
      </c>
      <c r="K78" s="204">
        <v>4530247</v>
      </c>
      <c r="L78" s="204">
        <v>1263008.0403287672</v>
      </c>
      <c r="M78" s="205">
        <v>4928542</v>
      </c>
      <c r="N78" s="204">
        <v>4928542</v>
      </c>
      <c r="O78" s="204">
        <v>2235338.0951232878</v>
      </c>
      <c r="P78" s="204">
        <v>4530247</v>
      </c>
      <c r="Q78" s="204">
        <f t="shared" si="6"/>
        <v>135788.75962750986</v>
      </c>
      <c r="R78" s="204">
        <f t="shared" si="8"/>
        <v>4394458.2403724901</v>
      </c>
      <c r="S78" s="204">
        <f t="shared" si="9"/>
        <v>6629796.3354957774</v>
      </c>
    </row>
    <row r="79" spans="1:19">
      <c r="A79" s="86">
        <v>77</v>
      </c>
      <c r="B79" s="87" t="s">
        <v>310</v>
      </c>
      <c r="C79" s="88" t="s">
        <v>311</v>
      </c>
      <c r="D79" s="193">
        <v>7713349.5004365118</v>
      </c>
      <c r="E79" s="89">
        <v>41079</v>
      </c>
      <c r="F79" s="90">
        <v>42357</v>
      </c>
      <c r="G79" s="89">
        <v>43208</v>
      </c>
      <c r="H79" s="91">
        <v>851</v>
      </c>
      <c r="I79" s="204">
        <v>1438698.1753142951</v>
      </c>
      <c r="J79" s="204">
        <v>9152047.6757508069</v>
      </c>
      <c r="K79" s="204">
        <v>7951690</v>
      </c>
      <c r="L79" s="204">
        <v>1483153.5758904109</v>
      </c>
      <c r="M79" s="205">
        <v>7951692</v>
      </c>
      <c r="N79" s="204">
        <v>7951692</v>
      </c>
      <c r="O79" s="204">
        <v>3315671.7981369868</v>
      </c>
      <c r="P79" s="204">
        <f>+K79</f>
        <v>7951690</v>
      </c>
      <c r="Q79" s="204">
        <f t="shared" si="6"/>
        <v>238342.43961586989</v>
      </c>
      <c r="R79" s="204">
        <f t="shared" si="8"/>
        <v>7713347.5603841301</v>
      </c>
      <c r="S79" s="204">
        <f t="shared" si="9"/>
        <v>11029019.358521117</v>
      </c>
    </row>
    <row r="80" spans="1:19">
      <c r="A80" s="86">
        <v>78</v>
      </c>
      <c r="B80" s="87" t="s">
        <v>409</v>
      </c>
      <c r="C80" s="88" t="s">
        <v>110</v>
      </c>
      <c r="D80" s="193">
        <v>7666835.7745659128</v>
      </c>
      <c r="E80" s="89">
        <v>41149</v>
      </c>
      <c r="F80" s="90">
        <v>42428</v>
      </c>
      <c r="G80" s="89">
        <v>43208</v>
      </c>
      <c r="H80" s="91">
        <v>780</v>
      </c>
      <c r="I80" s="204">
        <v>1310713.8420079807</v>
      </c>
      <c r="J80" s="204">
        <v>8977549.6165738925</v>
      </c>
      <c r="K80" s="204">
        <v>7931422</v>
      </c>
      <c r="L80" s="204">
        <v>1355947.213150685</v>
      </c>
      <c r="M80" s="205">
        <v>7903741</v>
      </c>
      <c r="N80" s="204">
        <v>7903741</v>
      </c>
      <c r="O80" s="204">
        <v>3265133.5048767123</v>
      </c>
      <c r="P80" s="204">
        <f t="shared" si="7"/>
        <v>7903741</v>
      </c>
      <c r="Q80" s="204">
        <f t="shared" si="6"/>
        <v>264586.22543408722</v>
      </c>
      <c r="R80" s="204">
        <f t="shared" si="8"/>
        <v>7666835.7745659128</v>
      </c>
      <c r="S80" s="204">
        <f t="shared" si="9"/>
        <v>10931969.279442625</v>
      </c>
    </row>
    <row r="81" spans="1:19">
      <c r="A81" s="86">
        <v>79</v>
      </c>
      <c r="B81" s="87" t="s">
        <v>66</v>
      </c>
      <c r="C81" s="88" t="s">
        <v>67</v>
      </c>
      <c r="D81" s="193">
        <v>5695703.7540013576</v>
      </c>
      <c r="E81" s="89">
        <v>40975</v>
      </c>
      <c r="F81" s="90">
        <v>42254</v>
      </c>
      <c r="G81" s="89">
        <v>43208</v>
      </c>
      <c r="H81" s="91">
        <v>954</v>
      </c>
      <c r="I81" s="204">
        <v>1190948.2479599551</v>
      </c>
      <c r="J81" s="204">
        <v>6886652.0019613132</v>
      </c>
      <c r="K81" s="204">
        <v>5897417</v>
      </c>
      <c r="L81" s="204">
        <v>1233125.6587397261</v>
      </c>
      <c r="M81" s="205">
        <v>5871701</v>
      </c>
      <c r="N81" s="204">
        <v>5879416</v>
      </c>
      <c r="O81" s="204">
        <v>2645569.7606575345</v>
      </c>
      <c r="P81" s="204">
        <f t="shared" si="7"/>
        <v>5871701</v>
      </c>
      <c r="Q81" s="204">
        <f t="shared" si="6"/>
        <v>201713.24599864241</v>
      </c>
      <c r="R81" s="204">
        <f t="shared" si="8"/>
        <v>5695703.7540013576</v>
      </c>
      <c r="S81" s="204">
        <f t="shared" si="9"/>
        <v>8341273.5146588925</v>
      </c>
    </row>
    <row r="82" spans="1:19">
      <c r="A82" s="86">
        <v>80</v>
      </c>
      <c r="B82" s="87" t="s">
        <v>64</v>
      </c>
      <c r="C82" s="88" t="s">
        <v>65</v>
      </c>
      <c r="D82" s="193">
        <v>7278353.86555437</v>
      </c>
      <c r="E82" s="89">
        <v>41680</v>
      </c>
      <c r="F82" s="90">
        <v>42957</v>
      </c>
      <c r="G82" s="89">
        <v>43208</v>
      </c>
      <c r="H82" s="91">
        <v>251</v>
      </c>
      <c r="I82" s="204">
        <v>400409.16608310066</v>
      </c>
      <c r="J82" s="204">
        <v>7678763.0316374702</v>
      </c>
      <c r="K82" s="204">
        <v>7607300</v>
      </c>
      <c r="L82" s="204">
        <v>418505.70958904113</v>
      </c>
      <c r="M82" s="205">
        <v>7503255</v>
      </c>
      <c r="N82" s="204">
        <v>7607298</v>
      </c>
      <c r="O82" s="204">
        <v>3207297.6043835618</v>
      </c>
      <c r="P82" s="204">
        <f>+K82</f>
        <v>7607300</v>
      </c>
      <c r="Q82" s="204">
        <f t="shared" si="6"/>
        <v>228019.75943350513</v>
      </c>
      <c r="R82" s="204">
        <f t="shared" si="8"/>
        <v>7379280.2405664949</v>
      </c>
      <c r="S82" s="204">
        <f t="shared" si="9"/>
        <v>10586577.844950058</v>
      </c>
    </row>
    <row r="83" spans="1:19">
      <c r="A83" s="86">
        <v>81</v>
      </c>
      <c r="B83" s="87" t="s">
        <v>62</v>
      </c>
      <c r="C83" s="88" t="s">
        <v>410</v>
      </c>
      <c r="D83" s="193">
        <v>4912814.0459792409</v>
      </c>
      <c r="E83" s="89">
        <v>41122</v>
      </c>
      <c r="F83" s="90">
        <v>42401</v>
      </c>
      <c r="G83" s="89">
        <v>43208</v>
      </c>
      <c r="H83" s="91">
        <v>807</v>
      </c>
      <c r="I83" s="204">
        <v>868962.3967353967</v>
      </c>
      <c r="J83" s="204">
        <v>5781776.4427146371</v>
      </c>
      <c r="K83" s="204">
        <v>5069205</v>
      </c>
      <c r="L83" s="204">
        <v>896624.31452054786</v>
      </c>
      <c r="M83" s="205">
        <v>5064620</v>
      </c>
      <c r="N83" s="204">
        <v>5069209</v>
      </c>
      <c r="O83" s="204">
        <v>2147391.6990684932</v>
      </c>
      <c r="P83" s="204">
        <f t="shared" si="7"/>
        <v>5064620</v>
      </c>
      <c r="Q83" s="204">
        <f t="shared" si="6"/>
        <v>156390.95402075909</v>
      </c>
      <c r="R83" s="204">
        <f t="shared" si="8"/>
        <v>4912814.0459792409</v>
      </c>
      <c r="S83" s="204">
        <f t="shared" si="9"/>
        <v>7060205.7450477341</v>
      </c>
    </row>
    <row r="84" spans="1:19">
      <c r="A84" s="86">
        <v>82</v>
      </c>
      <c r="B84" s="87" t="s">
        <v>411</v>
      </c>
      <c r="C84" s="88" t="s">
        <v>61</v>
      </c>
      <c r="D84" s="193">
        <v>6361159.1812978946</v>
      </c>
      <c r="E84" s="89">
        <v>41030</v>
      </c>
      <c r="F84" s="90">
        <v>42309</v>
      </c>
      <c r="G84" s="89">
        <v>43208</v>
      </c>
      <c r="H84" s="91">
        <v>899</v>
      </c>
      <c r="I84" s="204">
        <v>1253409.7762162865</v>
      </c>
      <c r="J84" s="204">
        <v>7614568.9575141808</v>
      </c>
      <c r="K84" s="204">
        <v>6557719</v>
      </c>
      <c r="L84" s="204">
        <v>1292140.13830137</v>
      </c>
      <c r="M84" s="205">
        <v>6557719</v>
      </c>
      <c r="N84" s="204">
        <v>6557719</v>
      </c>
      <c r="O84" s="204">
        <v>2787560.1499178079</v>
      </c>
      <c r="P84" s="204">
        <f t="shared" si="7"/>
        <v>6557719</v>
      </c>
      <c r="Q84" s="204">
        <f t="shared" si="6"/>
        <v>196559.81870210543</v>
      </c>
      <c r="R84" s="204">
        <f t="shared" si="8"/>
        <v>6361159.1812978946</v>
      </c>
      <c r="S84" s="204">
        <f t="shared" si="9"/>
        <v>9148719.331215702</v>
      </c>
    </row>
    <row r="85" spans="1:19">
      <c r="A85" s="86">
        <v>83</v>
      </c>
      <c r="B85" s="87" t="s">
        <v>59</v>
      </c>
      <c r="C85" s="88" t="s">
        <v>60</v>
      </c>
      <c r="D85" s="193">
        <v>6707688.4275875445</v>
      </c>
      <c r="E85" s="89">
        <v>41069</v>
      </c>
      <c r="F85" s="90">
        <v>42347</v>
      </c>
      <c r="G85" s="89">
        <v>43208</v>
      </c>
      <c r="H85" s="91">
        <v>861</v>
      </c>
      <c r="I85" s="204">
        <v>1265823.5038143289</v>
      </c>
      <c r="J85" s="204">
        <v>7973511.931401873</v>
      </c>
      <c r="K85" s="204">
        <v>6914956</v>
      </c>
      <c r="L85" s="204">
        <v>1304937.4500821917</v>
      </c>
      <c r="M85" s="205">
        <v>6914956</v>
      </c>
      <c r="N85" s="204">
        <v>6914955</v>
      </c>
      <c r="O85" s="204">
        <v>2633145.9973698631</v>
      </c>
      <c r="P85" s="204">
        <f t="shared" si="7"/>
        <v>6914956</v>
      </c>
      <c r="Q85" s="204">
        <f t="shared" si="6"/>
        <v>207267.57241245545</v>
      </c>
      <c r="R85" s="204">
        <f t="shared" si="8"/>
        <v>6707688.4275875445</v>
      </c>
      <c r="S85" s="204">
        <f t="shared" si="9"/>
        <v>9340834.4249574076</v>
      </c>
    </row>
    <row r="86" spans="1:19">
      <c r="A86" s="86">
        <v>84</v>
      </c>
      <c r="B86" s="87" t="s">
        <v>5</v>
      </c>
      <c r="C86" s="88" t="s">
        <v>6</v>
      </c>
      <c r="D86" s="193">
        <v>4463320.3996507907</v>
      </c>
      <c r="E86" s="89">
        <v>40937</v>
      </c>
      <c r="F86" s="90">
        <v>42214</v>
      </c>
      <c r="G86" s="89">
        <v>43208</v>
      </c>
      <c r="H86" s="91">
        <v>994</v>
      </c>
      <c r="I86" s="204">
        <v>972392.43337049568</v>
      </c>
      <c r="J86" s="204">
        <v>5435712.8330212869</v>
      </c>
      <c r="K86" s="204">
        <v>4611863</v>
      </c>
      <c r="L86" s="204">
        <v>1004754.3719452054</v>
      </c>
      <c r="M86" s="205">
        <v>4601237</v>
      </c>
      <c r="N86" s="204">
        <v>4601237</v>
      </c>
      <c r="O86" s="204">
        <v>1813031.9997808221</v>
      </c>
      <c r="P86" s="204">
        <f t="shared" si="7"/>
        <v>4601237</v>
      </c>
      <c r="Q86" s="204">
        <f t="shared" si="6"/>
        <v>148542.60034920927</v>
      </c>
      <c r="R86" s="204">
        <f t="shared" si="8"/>
        <v>4463320.3996507907</v>
      </c>
      <c r="S86" s="204">
        <f t="shared" si="9"/>
        <v>6276352.3994316123</v>
      </c>
    </row>
    <row r="87" spans="1:19">
      <c r="A87" s="86">
        <v>85</v>
      </c>
      <c r="B87" s="87" t="s">
        <v>72</v>
      </c>
      <c r="C87" s="88" t="s">
        <v>73</v>
      </c>
      <c r="D87" s="193">
        <v>7824480.5509748757</v>
      </c>
      <c r="E87" s="89">
        <v>41164</v>
      </c>
      <c r="F87" s="90">
        <v>42441</v>
      </c>
      <c r="G87" s="89">
        <v>43208</v>
      </c>
      <c r="H87" s="91">
        <v>767</v>
      </c>
      <c r="I87" s="204">
        <v>1315370.209884434</v>
      </c>
      <c r="J87" s="204">
        <v>9139850.7608593106</v>
      </c>
      <c r="K87" s="204">
        <v>8461825</v>
      </c>
      <c r="L87" s="204">
        <v>1422513.9232876711</v>
      </c>
      <c r="M87" s="205">
        <v>8066257</v>
      </c>
      <c r="N87" s="204">
        <v>8461825</v>
      </c>
      <c r="O87" s="204">
        <v>3518113.2517260276</v>
      </c>
      <c r="P87" s="204">
        <f>+K87</f>
        <v>8461825</v>
      </c>
      <c r="Q87" s="204">
        <f t="shared" si="6"/>
        <v>253633.12881947868</v>
      </c>
      <c r="R87" s="204">
        <f t="shared" si="8"/>
        <v>8208191.8711805213</v>
      </c>
      <c r="S87" s="204">
        <f t="shared" si="9"/>
        <v>11726305.122906549</v>
      </c>
    </row>
    <row r="88" spans="1:19">
      <c r="A88" s="86">
        <v>86</v>
      </c>
      <c r="B88" s="87" t="s">
        <v>412</v>
      </c>
      <c r="C88" s="88" t="s">
        <v>69</v>
      </c>
      <c r="D88" s="193">
        <v>5761499.6604908332</v>
      </c>
      <c r="E88" s="89">
        <v>41156</v>
      </c>
      <c r="F88" s="90">
        <v>42433</v>
      </c>
      <c r="G88" s="89">
        <v>43208</v>
      </c>
      <c r="H88" s="91">
        <v>775</v>
      </c>
      <c r="I88" s="204">
        <v>978665.69575460721</v>
      </c>
      <c r="J88" s="204">
        <v>6740165.3562454404</v>
      </c>
      <c r="K88" s="204">
        <v>6039531</v>
      </c>
      <c r="L88" s="204">
        <v>1025892.9369863013</v>
      </c>
      <c r="M88" s="205">
        <v>5939530</v>
      </c>
      <c r="N88" s="204">
        <v>5939530</v>
      </c>
      <c r="O88" s="204">
        <v>2514245.0702465759</v>
      </c>
      <c r="P88" s="204">
        <f t="shared" si="7"/>
        <v>5939530</v>
      </c>
      <c r="Q88" s="204">
        <f t="shared" si="6"/>
        <v>278031.33950916678</v>
      </c>
      <c r="R88" s="204">
        <f t="shared" si="8"/>
        <v>5761499.6604908332</v>
      </c>
      <c r="S88" s="204">
        <f t="shared" si="9"/>
        <v>8275744.7307374086</v>
      </c>
    </row>
    <row r="89" spans="1:19">
      <c r="A89" s="86">
        <v>87</v>
      </c>
      <c r="B89" s="87" t="s">
        <v>259</v>
      </c>
      <c r="C89" s="88" t="s">
        <v>68</v>
      </c>
      <c r="D89" s="193">
        <v>5452421.1853720052</v>
      </c>
      <c r="E89" s="89">
        <v>41156</v>
      </c>
      <c r="F89" s="90">
        <v>42433</v>
      </c>
      <c r="G89" s="89">
        <v>43208</v>
      </c>
      <c r="H89" s="91">
        <v>775</v>
      </c>
      <c r="I89" s="204">
        <v>926164.6945015461</v>
      </c>
      <c r="J89" s="204">
        <v>6378585.8798735514</v>
      </c>
      <c r="K89" s="204">
        <v>6129380</v>
      </c>
      <c r="L89" s="204">
        <v>1041154.9589041097</v>
      </c>
      <c r="M89" s="205">
        <v>5620901</v>
      </c>
      <c r="N89" s="204">
        <v>5620901</v>
      </c>
      <c r="O89" s="204">
        <v>2383701.1064109593</v>
      </c>
      <c r="P89" s="204">
        <f t="shared" si="7"/>
        <v>5620901</v>
      </c>
      <c r="Q89" s="204">
        <f t="shared" si="6"/>
        <v>676958.81462799478</v>
      </c>
      <c r="R89" s="204">
        <f t="shared" si="8"/>
        <v>5452421.1853720052</v>
      </c>
      <c r="S89" s="204">
        <f t="shared" si="9"/>
        <v>7836122.291782964</v>
      </c>
    </row>
    <row r="90" spans="1:19">
      <c r="A90" s="86">
        <v>88</v>
      </c>
      <c r="B90" s="87" t="s">
        <v>70</v>
      </c>
      <c r="C90" s="88" t="s">
        <v>71</v>
      </c>
      <c r="D90" s="193">
        <v>8755137.2587059848</v>
      </c>
      <c r="E90" s="89">
        <v>41207</v>
      </c>
      <c r="F90" s="90">
        <v>42485</v>
      </c>
      <c r="G90" s="89">
        <v>43208</v>
      </c>
      <c r="H90" s="91">
        <v>723</v>
      </c>
      <c r="I90" s="204">
        <v>1387389.4220371346</v>
      </c>
      <c r="J90" s="204">
        <v>10142526.680743119</v>
      </c>
      <c r="K90" s="204">
        <v>9045771</v>
      </c>
      <c r="L90" s="204">
        <v>1433444.916821918</v>
      </c>
      <c r="M90" s="205">
        <v>9025671</v>
      </c>
      <c r="N90" s="204">
        <v>9025671</v>
      </c>
      <c r="O90" s="204">
        <v>3471833.3133150684</v>
      </c>
      <c r="P90" s="204">
        <f t="shared" si="7"/>
        <v>9025671</v>
      </c>
      <c r="Q90" s="204">
        <f t="shared" si="6"/>
        <v>290633.7412940152</v>
      </c>
      <c r="R90" s="204">
        <f t="shared" si="8"/>
        <v>8755137.2587059848</v>
      </c>
      <c r="S90" s="204">
        <f t="shared" si="9"/>
        <v>12226970.572021052</v>
      </c>
    </row>
    <row r="91" spans="1:19">
      <c r="A91" s="86">
        <v>89</v>
      </c>
      <c r="B91" s="87" t="s">
        <v>413</v>
      </c>
      <c r="C91" s="88" t="s">
        <v>76</v>
      </c>
      <c r="D91" s="193">
        <v>5675957.9008633234</v>
      </c>
      <c r="E91" s="89">
        <v>40645</v>
      </c>
      <c r="F91" s="90">
        <v>41924</v>
      </c>
      <c r="G91" s="89">
        <v>43208</v>
      </c>
      <c r="H91" s="91">
        <v>1284</v>
      </c>
      <c r="I91" s="204">
        <v>1597354.5084292619</v>
      </c>
      <c r="J91" s="204">
        <v>7273312.4092925852</v>
      </c>
      <c r="K91" s="204">
        <v>5851345</v>
      </c>
      <c r="L91" s="204">
        <v>1646712.7627397259</v>
      </c>
      <c r="M91" s="205">
        <v>5851345</v>
      </c>
      <c r="N91" s="204">
        <v>5851345</v>
      </c>
      <c r="O91" s="204">
        <v>2556747.0198356165</v>
      </c>
      <c r="P91" s="204">
        <f t="shared" si="7"/>
        <v>5851345</v>
      </c>
      <c r="Q91" s="204">
        <f t="shared" si="6"/>
        <v>175387.09913667664</v>
      </c>
      <c r="R91" s="204">
        <f t="shared" si="8"/>
        <v>5675957.9008633234</v>
      </c>
      <c r="S91" s="204">
        <f t="shared" si="9"/>
        <v>8232704.9206989398</v>
      </c>
    </row>
    <row r="92" spans="1:19">
      <c r="A92" s="86">
        <v>90</v>
      </c>
      <c r="B92" s="87" t="s">
        <v>77</v>
      </c>
      <c r="C92" s="88" t="s">
        <v>78</v>
      </c>
      <c r="D92" s="193">
        <v>5490478.2229120182</v>
      </c>
      <c r="E92" s="89">
        <v>41340</v>
      </c>
      <c r="F92" s="90">
        <v>42620</v>
      </c>
      <c r="G92" s="89">
        <v>43208</v>
      </c>
      <c r="H92" s="91">
        <v>588</v>
      </c>
      <c r="I92" s="204">
        <v>707594.78248159273</v>
      </c>
      <c r="J92" s="204">
        <v>6198073.0053936113</v>
      </c>
      <c r="K92" s="204">
        <v>6185901</v>
      </c>
      <c r="L92" s="204">
        <v>797218.58367123292</v>
      </c>
      <c r="M92" s="205">
        <v>5660134</v>
      </c>
      <c r="N92" s="204">
        <v>5660134</v>
      </c>
      <c r="O92" s="204">
        <v>2546007.8196164384</v>
      </c>
      <c r="P92" s="204">
        <f t="shared" si="7"/>
        <v>5660134</v>
      </c>
      <c r="Q92" s="204">
        <f t="shared" si="6"/>
        <v>695422.77708798181</v>
      </c>
      <c r="R92" s="204">
        <f t="shared" si="8"/>
        <v>5490478.2229120182</v>
      </c>
      <c r="S92" s="204">
        <f t="shared" si="9"/>
        <v>8036486.0425284561</v>
      </c>
    </row>
    <row r="93" spans="1:19">
      <c r="A93" s="86">
        <v>91</v>
      </c>
      <c r="B93" s="87" t="s">
        <v>79</v>
      </c>
      <c r="C93" s="88" t="s">
        <v>80</v>
      </c>
      <c r="D93" s="193">
        <v>5685777.4759918517</v>
      </c>
      <c r="E93" s="89">
        <v>40726</v>
      </c>
      <c r="F93" s="90">
        <v>42006</v>
      </c>
      <c r="G93" s="89">
        <v>43208</v>
      </c>
      <c r="H93" s="91">
        <v>1202</v>
      </c>
      <c r="I93" s="204">
        <v>1497929.7591544562</v>
      </c>
      <c r="J93" s="204">
        <v>7183707.2351463083</v>
      </c>
      <c r="K93" s="204">
        <v>5861468</v>
      </c>
      <c r="L93" s="204">
        <v>1544215.7887123288</v>
      </c>
      <c r="M93" s="205">
        <v>5861468</v>
      </c>
      <c r="N93" s="204">
        <v>5861466</v>
      </c>
      <c r="O93" s="204">
        <v>2476731.9951780825</v>
      </c>
      <c r="P93" s="204">
        <f t="shared" si="7"/>
        <v>5861468</v>
      </c>
      <c r="Q93" s="204">
        <f t="shared" si="6"/>
        <v>175690.52400814835</v>
      </c>
      <c r="R93" s="204">
        <f t="shared" si="8"/>
        <v>5685777.4759918517</v>
      </c>
      <c r="S93" s="204">
        <f t="shared" si="9"/>
        <v>8162509.4711699337</v>
      </c>
    </row>
    <row r="94" spans="1:19">
      <c r="A94" s="86">
        <v>92</v>
      </c>
      <c r="B94" s="87" t="s">
        <v>114</v>
      </c>
      <c r="C94" s="88" t="s">
        <v>414</v>
      </c>
      <c r="D94" s="193">
        <v>5995296.3430012604</v>
      </c>
      <c r="E94" s="89">
        <v>40742</v>
      </c>
      <c r="F94" s="90">
        <v>42022</v>
      </c>
      <c r="G94" s="89">
        <v>43208</v>
      </c>
      <c r="H94" s="91">
        <v>1186</v>
      </c>
      <c r="I94" s="204">
        <v>1558448.5397916702</v>
      </c>
      <c r="J94" s="204">
        <v>7553744.8827929311</v>
      </c>
      <c r="K94" s="204">
        <v>6194412</v>
      </c>
      <c r="L94" s="204">
        <v>1610207.7001643837</v>
      </c>
      <c r="M94" s="205">
        <v>6180551</v>
      </c>
      <c r="N94" s="204">
        <v>6180551</v>
      </c>
      <c r="O94" s="204">
        <v>2857899.0128219179</v>
      </c>
      <c r="P94" s="204">
        <f t="shared" si="7"/>
        <v>6180551</v>
      </c>
      <c r="Q94" s="204">
        <f t="shared" si="6"/>
        <v>199115.65699873958</v>
      </c>
      <c r="R94" s="204">
        <f t="shared" si="8"/>
        <v>5995296.3430012604</v>
      </c>
      <c r="S94" s="204">
        <f t="shared" si="9"/>
        <v>8853195.3558231778</v>
      </c>
    </row>
    <row r="95" spans="1:19">
      <c r="A95" s="86">
        <v>93</v>
      </c>
      <c r="B95" s="87" t="s">
        <v>116</v>
      </c>
      <c r="C95" s="88" t="s">
        <v>415</v>
      </c>
      <c r="D95" s="193">
        <v>1292196.139295761</v>
      </c>
      <c r="E95" s="89">
        <v>40742</v>
      </c>
      <c r="F95" s="90">
        <v>42022</v>
      </c>
      <c r="G95" s="89">
        <v>43208</v>
      </c>
      <c r="H95" s="91">
        <v>1186</v>
      </c>
      <c r="I95" s="204">
        <v>335900.19094899128</v>
      </c>
      <c r="J95" s="204">
        <v>1628096.3302447523</v>
      </c>
      <c r="K95" s="204">
        <v>1332125</v>
      </c>
      <c r="L95" s="204">
        <v>346279.50684931508</v>
      </c>
      <c r="M95" s="205">
        <v>1332125</v>
      </c>
      <c r="N95" s="204">
        <v>1332125</v>
      </c>
      <c r="O95" s="204">
        <v>719128.52054794517</v>
      </c>
      <c r="P95" s="204">
        <f t="shared" si="7"/>
        <v>1332125</v>
      </c>
      <c r="Q95" s="204">
        <f t="shared" si="6"/>
        <v>39928.860704238992</v>
      </c>
      <c r="R95" s="204">
        <f t="shared" si="8"/>
        <v>1292196.139295761</v>
      </c>
      <c r="S95" s="204">
        <f t="shared" si="9"/>
        <v>2011324.6598437061</v>
      </c>
    </row>
    <row r="96" spans="1:19">
      <c r="A96" s="86">
        <v>94</v>
      </c>
      <c r="B96" s="87" t="s">
        <v>118</v>
      </c>
      <c r="C96" s="88" t="s">
        <v>119</v>
      </c>
      <c r="D96" s="193">
        <v>5638395.5766805699</v>
      </c>
      <c r="E96" s="89">
        <v>41051</v>
      </c>
      <c r="F96" s="90">
        <v>42330</v>
      </c>
      <c r="G96" s="89">
        <v>43208</v>
      </c>
      <c r="H96" s="91">
        <v>878</v>
      </c>
      <c r="I96" s="204">
        <v>1085043.5761809405</v>
      </c>
      <c r="J96" s="204">
        <v>6723439.1528615104</v>
      </c>
      <c r="K96" s="204">
        <v>5824079</v>
      </c>
      <c r="L96" s="204">
        <v>1120776.1889315068</v>
      </c>
      <c r="M96" s="205">
        <v>5812622</v>
      </c>
      <c r="N96" s="204">
        <v>5812622</v>
      </c>
      <c r="O96" s="204">
        <v>2527485.6545753423</v>
      </c>
      <c r="P96" s="204">
        <f t="shared" si="7"/>
        <v>5812622</v>
      </c>
      <c r="Q96" s="204">
        <f t="shared" si="6"/>
        <v>185683.42331943009</v>
      </c>
      <c r="R96" s="204">
        <f t="shared" si="8"/>
        <v>5638395.5766805699</v>
      </c>
      <c r="S96" s="204">
        <f t="shared" si="9"/>
        <v>8165881.2312559122</v>
      </c>
    </row>
    <row r="97" spans="1:19">
      <c r="A97" s="86">
        <v>95</v>
      </c>
      <c r="B97" s="87" t="s">
        <v>416</v>
      </c>
      <c r="C97" s="88" t="s">
        <v>128</v>
      </c>
      <c r="D97" s="193">
        <v>6124033.3689009603</v>
      </c>
      <c r="E97" s="89">
        <v>41172</v>
      </c>
      <c r="F97" s="90">
        <v>42449</v>
      </c>
      <c r="G97" s="89">
        <v>43208</v>
      </c>
      <c r="H97" s="91">
        <v>759</v>
      </c>
      <c r="I97" s="204">
        <v>1018770.7018073049</v>
      </c>
      <c r="J97" s="204">
        <v>7142804.0707082655</v>
      </c>
      <c r="K97" s="204">
        <v>6313635</v>
      </c>
      <c r="L97" s="204">
        <v>1050312.1019178082</v>
      </c>
      <c r="M97" s="205">
        <v>6313266</v>
      </c>
      <c r="N97" s="204">
        <v>6313266</v>
      </c>
      <c r="O97" s="204">
        <v>2777613.2223561648</v>
      </c>
      <c r="P97" s="204">
        <f>+K97</f>
        <v>6313635</v>
      </c>
      <c r="Q97" s="204">
        <f t="shared" si="6"/>
        <v>189243.69143466931</v>
      </c>
      <c r="R97" s="204">
        <f t="shared" si="8"/>
        <v>6124391.3085653307</v>
      </c>
      <c r="S97" s="204">
        <f t="shared" si="9"/>
        <v>8902004.5309214965</v>
      </c>
    </row>
    <row r="98" spans="1:19">
      <c r="A98" s="86">
        <v>96</v>
      </c>
      <c r="B98" s="87" t="s">
        <v>126</v>
      </c>
      <c r="C98" s="88" t="s">
        <v>127</v>
      </c>
      <c r="D98" s="193">
        <v>5319986.4196333298</v>
      </c>
      <c r="E98" s="89">
        <v>41263</v>
      </c>
      <c r="F98" s="90">
        <v>42541</v>
      </c>
      <c r="G98" s="89">
        <v>43208</v>
      </c>
      <c r="H98" s="91">
        <v>667</v>
      </c>
      <c r="I98" s="204">
        <v>777738.28863461502</v>
      </c>
      <c r="J98" s="204">
        <v>6097724.7082679449</v>
      </c>
      <c r="K98" s="204">
        <v>5496616</v>
      </c>
      <c r="L98" s="204">
        <v>803560.08153424656</v>
      </c>
      <c r="M98" s="205">
        <v>5484374</v>
      </c>
      <c r="N98" s="204">
        <v>5484377</v>
      </c>
      <c r="O98" s="204">
        <v>2387728.354191781</v>
      </c>
      <c r="P98" s="204">
        <f t="shared" si="7"/>
        <v>5484374</v>
      </c>
      <c r="Q98" s="204">
        <f t="shared" si="6"/>
        <v>176629.58036667015</v>
      </c>
      <c r="R98" s="204">
        <f t="shared" si="8"/>
        <v>5319986.4196333298</v>
      </c>
      <c r="S98" s="204">
        <f t="shared" si="9"/>
        <v>7707714.7738251109</v>
      </c>
    </row>
    <row r="99" spans="1:19">
      <c r="A99" s="86">
        <v>97</v>
      </c>
      <c r="B99" s="87" t="s">
        <v>417</v>
      </c>
      <c r="C99" s="88" t="s">
        <v>113</v>
      </c>
      <c r="D99" s="193">
        <v>5516102.4347657384</v>
      </c>
      <c r="E99" s="89">
        <v>41015</v>
      </c>
      <c r="F99" s="90">
        <v>42293</v>
      </c>
      <c r="G99" s="89">
        <v>43208</v>
      </c>
      <c r="H99" s="91">
        <v>915</v>
      </c>
      <c r="I99" s="204">
        <v>1106243.0088352112</v>
      </c>
      <c r="J99" s="204">
        <v>6622345.4436009498</v>
      </c>
      <c r="K99" s="204">
        <v>5686550</v>
      </c>
      <c r="L99" s="204">
        <v>1140425.9178082191</v>
      </c>
      <c r="M99" s="205">
        <v>5686550</v>
      </c>
      <c r="N99" s="204">
        <v>5686550</v>
      </c>
      <c r="O99" s="204">
        <v>2634290.438136986</v>
      </c>
      <c r="P99" s="204">
        <f t="shared" si="7"/>
        <v>5686550</v>
      </c>
      <c r="Q99" s="204">
        <f t="shared" ref="Q99:Q130" si="10">+K99-R99</f>
        <v>170447.56523426156</v>
      </c>
      <c r="R99" s="204">
        <f t="shared" si="8"/>
        <v>5516102.4347657384</v>
      </c>
      <c r="S99" s="204">
        <f t="shared" si="9"/>
        <v>8150392.8729027249</v>
      </c>
    </row>
    <row r="100" spans="1:19">
      <c r="A100" s="86">
        <v>98</v>
      </c>
      <c r="B100" s="87" t="s">
        <v>129</v>
      </c>
      <c r="C100" s="88" t="s">
        <v>130</v>
      </c>
      <c r="D100" s="193">
        <v>7436450.6741682021</v>
      </c>
      <c r="E100" s="89">
        <v>41156</v>
      </c>
      <c r="F100" s="90">
        <v>42433</v>
      </c>
      <c r="G100" s="89">
        <v>43208</v>
      </c>
      <c r="H100" s="91">
        <v>775</v>
      </c>
      <c r="I100" s="204">
        <v>1263177.9227354208</v>
      </c>
      <c r="J100" s="204">
        <v>8699628.5969036222</v>
      </c>
      <c r="K100" s="204">
        <v>7692364</v>
      </c>
      <c r="L100" s="204">
        <v>1306648.1315068493</v>
      </c>
      <c r="M100" s="205">
        <v>7666237</v>
      </c>
      <c r="N100" s="204">
        <v>7666233</v>
      </c>
      <c r="O100" s="204">
        <v>3282253.5169315068</v>
      </c>
      <c r="P100" s="204">
        <f t="shared" si="7"/>
        <v>7666237</v>
      </c>
      <c r="Q100" s="204">
        <f t="shared" si="10"/>
        <v>255913.32583179791</v>
      </c>
      <c r="R100" s="204">
        <f t="shared" si="8"/>
        <v>7436450.6741682021</v>
      </c>
      <c r="S100" s="204">
        <f t="shared" si="9"/>
        <v>10718704.191099709</v>
      </c>
    </row>
    <row r="101" spans="1:19">
      <c r="A101" s="86">
        <v>99</v>
      </c>
      <c r="B101" s="87" t="s">
        <v>134</v>
      </c>
      <c r="C101" s="88" t="s">
        <v>135</v>
      </c>
      <c r="D101" s="193">
        <v>6707688.4275875445</v>
      </c>
      <c r="E101" s="89">
        <v>41156</v>
      </c>
      <c r="F101" s="90">
        <v>42433</v>
      </c>
      <c r="G101" s="89">
        <v>43208</v>
      </c>
      <c r="H101" s="91">
        <v>775</v>
      </c>
      <c r="I101" s="204">
        <v>1139388.1712614461</v>
      </c>
      <c r="J101" s="204">
        <v>7847076.5988489911</v>
      </c>
      <c r="K101" s="204">
        <v>6914955</v>
      </c>
      <c r="L101" s="204">
        <v>1174595.0958904112</v>
      </c>
      <c r="M101" s="205">
        <v>6914956</v>
      </c>
      <c r="N101" s="204">
        <v>6914955</v>
      </c>
      <c r="O101" s="204">
        <v>2870744.271780822</v>
      </c>
      <c r="P101" s="204">
        <f>+K101</f>
        <v>6914955</v>
      </c>
      <c r="Q101" s="204">
        <f t="shared" si="10"/>
        <v>207267.54243864585</v>
      </c>
      <c r="R101" s="204">
        <f t="shared" si="8"/>
        <v>6707687.4575613542</v>
      </c>
      <c r="S101" s="204">
        <f t="shared" si="9"/>
        <v>9578431.7293421756</v>
      </c>
    </row>
    <row r="102" spans="1:19">
      <c r="A102" s="86">
        <v>100</v>
      </c>
      <c r="B102" s="87" t="s">
        <v>132</v>
      </c>
      <c r="C102" s="100" t="s">
        <v>133</v>
      </c>
      <c r="D102" s="193">
        <v>4766652.4396158699</v>
      </c>
      <c r="E102" s="89">
        <v>41156</v>
      </c>
      <c r="F102" s="90">
        <v>42433</v>
      </c>
      <c r="G102" s="89">
        <v>43208</v>
      </c>
      <c r="H102" s="91">
        <v>775</v>
      </c>
      <c r="I102" s="204">
        <v>809677.94864707917</v>
      </c>
      <c r="J102" s="204">
        <v>5576330.388262949</v>
      </c>
      <c r="K102" s="204">
        <v>4913942</v>
      </c>
      <c r="L102" s="204">
        <v>834696.9972602739</v>
      </c>
      <c r="M102" s="205">
        <v>4913942</v>
      </c>
      <c r="N102" s="204">
        <v>4913942</v>
      </c>
      <c r="O102" s="204">
        <v>2268621.9375342466</v>
      </c>
      <c r="P102" s="204">
        <f t="shared" si="7"/>
        <v>4913942</v>
      </c>
      <c r="Q102" s="204">
        <f t="shared" si="10"/>
        <v>147289.56038413011</v>
      </c>
      <c r="R102" s="204">
        <f t="shared" si="8"/>
        <v>4766652.4396158699</v>
      </c>
      <c r="S102" s="204">
        <f t="shared" si="9"/>
        <v>7035274.3771501165</v>
      </c>
    </row>
    <row r="103" spans="1:19">
      <c r="A103" s="86">
        <v>101</v>
      </c>
      <c r="B103" s="87" t="s">
        <v>418</v>
      </c>
      <c r="C103" s="88" t="s">
        <v>419</v>
      </c>
      <c r="D103" s="193">
        <v>4987474.0517993988</v>
      </c>
      <c r="E103" s="89">
        <v>40970</v>
      </c>
      <c r="F103" s="90">
        <v>42249</v>
      </c>
      <c r="G103" s="89">
        <v>43208</v>
      </c>
      <c r="H103" s="91">
        <v>959</v>
      </c>
      <c r="I103" s="204">
        <v>1048326.0527508216</v>
      </c>
      <c r="J103" s="204">
        <v>6035800.1045502201</v>
      </c>
      <c r="K103" s="204">
        <v>5144000</v>
      </c>
      <c r="L103" s="204">
        <v>1081226.5205479453</v>
      </c>
      <c r="M103" s="205">
        <v>5141587</v>
      </c>
      <c r="N103" s="204">
        <v>5141587</v>
      </c>
      <c r="O103" s="204">
        <v>2246141.6120547941</v>
      </c>
      <c r="P103" s="204">
        <f t="shared" si="7"/>
        <v>5141587</v>
      </c>
      <c r="Q103" s="204">
        <f t="shared" si="10"/>
        <v>156525.94820060115</v>
      </c>
      <c r="R103" s="204">
        <f t="shared" si="8"/>
        <v>4987474.0517993988</v>
      </c>
      <c r="S103" s="204">
        <f t="shared" si="9"/>
        <v>7233615.6638541929</v>
      </c>
    </row>
    <row r="104" spans="1:19">
      <c r="A104" s="86">
        <v>102</v>
      </c>
      <c r="B104" s="87" t="s">
        <v>420</v>
      </c>
      <c r="C104" s="88" t="s">
        <v>421</v>
      </c>
      <c r="D104" s="193">
        <v>5966551.5568920355</v>
      </c>
      <c r="E104" s="89">
        <v>41118</v>
      </c>
      <c r="F104" s="90">
        <v>42397</v>
      </c>
      <c r="G104" s="89">
        <v>43208</v>
      </c>
      <c r="H104" s="91">
        <v>811</v>
      </c>
      <c r="I104" s="204">
        <v>1060574.972633302</v>
      </c>
      <c r="J104" s="204">
        <v>7027126.5295253377</v>
      </c>
      <c r="K104" s="204">
        <v>6150683</v>
      </c>
      <c r="L104" s="204">
        <v>1093304.9672328767</v>
      </c>
      <c r="M104" s="205">
        <v>6150917</v>
      </c>
      <c r="N104" s="204">
        <v>6150638</v>
      </c>
      <c r="O104" s="204">
        <v>2656476.1683287672</v>
      </c>
      <c r="P104" s="204">
        <f>+K104</f>
        <v>6150683</v>
      </c>
      <c r="Q104" s="204">
        <f t="shared" si="10"/>
        <v>184359.39926278032</v>
      </c>
      <c r="R104" s="204">
        <f t="shared" si="8"/>
        <v>5966323.6007372197</v>
      </c>
      <c r="S104" s="204">
        <f t="shared" si="9"/>
        <v>8622799.7690659873</v>
      </c>
    </row>
    <row r="105" spans="1:19">
      <c r="A105" s="86">
        <v>103</v>
      </c>
      <c r="B105" s="87" t="s">
        <v>422</v>
      </c>
      <c r="C105" s="88" t="s">
        <v>120</v>
      </c>
      <c r="D105" s="193">
        <v>12974579.493646327</v>
      </c>
      <c r="E105" s="89">
        <v>41568</v>
      </c>
      <c r="F105" s="90">
        <v>42846</v>
      </c>
      <c r="G105" s="89">
        <v>43208</v>
      </c>
      <c r="H105" s="91">
        <v>362</v>
      </c>
      <c r="I105" s="204">
        <v>1029435.1291397196</v>
      </c>
      <c r="J105" s="204">
        <v>14004014.622786047</v>
      </c>
      <c r="K105" s="204">
        <v>13375494</v>
      </c>
      <c r="L105" s="204">
        <v>1061244.6746301372</v>
      </c>
      <c r="M105" s="205">
        <v>13375494</v>
      </c>
      <c r="N105" s="204">
        <v>13375494</v>
      </c>
      <c r="O105" s="204">
        <v>4723534.1996712331</v>
      </c>
      <c r="P105" s="204">
        <f t="shared" si="7"/>
        <v>13375494</v>
      </c>
      <c r="Q105" s="204">
        <f t="shared" si="10"/>
        <v>400914.50635367259</v>
      </c>
      <c r="R105" s="204">
        <f t="shared" si="8"/>
        <v>12974579.493646327</v>
      </c>
      <c r="S105" s="204">
        <f t="shared" si="9"/>
        <v>17698113.693317562</v>
      </c>
    </row>
    <row r="106" spans="1:19">
      <c r="A106" s="86">
        <v>104</v>
      </c>
      <c r="B106" s="87" t="s">
        <v>423</v>
      </c>
      <c r="C106" s="88" t="s">
        <v>122</v>
      </c>
      <c r="D106" s="193">
        <v>8805045.1062178668</v>
      </c>
      <c r="E106" s="89">
        <v>41568</v>
      </c>
      <c r="F106" s="90">
        <v>42846</v>
      </c>
      <c r="G106" s="89">
        <v>43208</v>
      </c>
      <c r="H106" s="91">
        <v>362</v>
      </c>
      <c r="I106" s="204">
        <v>698613.98979745037</v>
      </c>
      <c r="J106" s="204">
        <v>9503659.0960153174</v>
      </c>
      <c r="K106" s="204">
        <v>9177121</v>
      </c>
      <c r="L106" s="204">
        <v>728135.40865753428</v>
      </c>
      <c r="M106" s="205">
        <v>9077121</v>
      </c>
      <c r="N106" s="204">
        <v>9177121</v>
      </c>
      <c r="O106" s="204">
        <v>1100697.010191781</v>
      </c>
      <c r="P106" s="204">
        <f>+N106</f>
        <v>9177121</v>
      </c>
      <c r="Q106" s="204">
        <f t="shared" si="10"/>
        <v>275073.27471141703</v>
      </c>
      <c r="R106" s="204">
        <f t="shared" si="8"/>
        <v>8902047.725288583</v>
      </c>
      <c r="S106" s="204">
        <f t="shared" si="9"/>
        <v>10002744.735480364</v>
      </c>
    </row>
    <row r="107" spans="1:19">
      <c r="A107" s="86">
        <v>105</v>
      </c>
      <c r="B107" s="87" t="s">
        <v>424</v>
      </c>
      <c r="C107" s="88" t="s">
        <v>269</v>
      </c>
      <c r="D107" s="193">
        <v>5804402.9488796191</v>
      </c>
      <c r="E107" s="89">
        <v>41106</v>
      </c>
      <c r="F107" s="90">
        <v>42385</v>
      </c>
      <c r="G107" s="89">
        <v>43208</v>
      </c>
      <c r="H107" s="91">
        <v>823</v>
      </c>
      <c r="I107" s="204">
        <v>1047018.8771348881</v>
      </c>
      <c r="J107" s="204">
        <v>6851421.8260145076</v>
      </c>
      <c r="K107" s="204">
        <v>5990472</v>
      </c>
      <c r="L107" s="204">
        <v>1080582.6752876714</v>
      </c>
      <c r="M107" s="205">
        <v>5983759</v>
      </c>
      <c r="N107" s="204">
        <v>5990472</v>
      </c>
      <c r="O107" s="204">
        <v>2562835.7312876713</v>
      </c>
      <c r="P107" s="204">
        <f t="shared" si="7"/>
        <v>5983759</v>
      </c>
      <c r="Q107" s="204">
        <f t="shared" si="10"/>
        <v>186069.05112038087</v>
      </c>
      <c r="R107" s="204">
        <f t="shared" si="8"/>
        <v>5804402.9488796191</v>
      </c>
      <c r="S107" s="204">
        <f t="shared" si="9"/>
        <v>8367238.6801672904</v>
      </c>
    </row>
    <row r="108" spans="1:19">
      <c r="A108" s="86">
        <v>106</v>
      </c>
      <c r="B108" s="87" t="s">
        <v>425</v>
      </c>
      <c r="C108" s="88" t="s">
        <v>426</v>
      </c>
      <c r="D108" s="193">
        <v>5819421.8643903388</v>
      </c>
      <c r="E108" s="89">
        <v>42277</v>
      </c>
      <c r="F108" s="90">
        <v>43554</v>
      </c>
      <c r="G108" s="89">
        <v>43208</v>
      </c>
      <c r="H108" s="91">
        <v>-346</v>
      </c>
      <c r="I108" s="204">
        <v>-441319.44440088922</v>
      </c>
      <c r="J108" s="204">
        <v>5378102.4199894499</v>
      </c>
      <c r="K108" s="204">
        <v>5999242</v>
      </c>
      <c r="L108" s="204">
        <v>0</v>
      </c>
      <c r="M108" s="205">
        <v>5999242</v>
      </c>
      <c r="N108" s="204">
        <v>5999242</v>
      </c>
      <c r="O108" s="204">
        <v>2837408.6215890413</v>
      </c>
      <c r="P108" s="204">
        <f t="shared" si="7"/>
        <v>5999242</v>
      </c>
      <c r="Q108" s="204">
        <f t="shared" si="10"/>
        <v>179820.13560966123</v>
      </c>
      <c r="R108" s="204">
        <f t="shared" si="8"/>
        <v>5819421.8643903388</v>
      </c>
      <c r="S108" s="204">
        <f t="shared" si="9"/>
        <v>8656830.4859793801</v>
      </c>
    </row>
    <row r="109" spans="1:19">
      <c r="A109" s="86">
        <v>107</v>
      </c>
      <c r="B109" s="87" t="s">
        <v>427</v>
      </c>
      <c r="C109" s="88" t="s">
        <v>131</v>
      </c>
      <c r="D109" s="193">
        <v>5513034.2419245318</v>
      </c>
      <c r="E109" s="89">
        <v>41003</v>
      </c>
      <c r="F109" s="90">
        <v>42281</v>
      </c>
      <c r="G109" s="89">
        <v>43208</v>
      </c>
      <c r="H109" s="91">
        <v>927</v>
      </c>
      <c r="I109" s="204">
        <v>1120127.7243318446</v>
      </c>
      <c r="J109" s="204">
        <v>6633161.9662563764</v>
      </c>
      <c r="K109" s="204">
        <v>5683386</v>
      </c>
      <c r="L109" s="204">
        <v>1154739.4678356166</v>
      </c>
      <c r="M109" s="205">
        <v>5683387</v>
      </c>
      <c r="N109" s="204">
        <v>5683385</v>
      </c>
      <c r="O109" s="204">
        <v>2592786.8804383557</v>
      </c>
      <c r="P109" s="204">
        <f>+K109</f>
        <v>5683386</v>
      </c>
      <c r="Q109" s="204">
        <f t="shared" si="10"/>
        <v>170352.72810165863</v>
      </c>
      <c r="R109" s="204">
        <f t="shared" si="8"/>
        <v>5513033.2718983414</v>
      </c>
      <c r="S109" s="204">
        <f t="shared" si="9"/>
        <v>8105820.1523366971</v>
      </c>
    </row>
    <row r="110" spans="1:19">
      <c r="A110" s="86">
        <v>108</v>
      </c>
      <c r="B110" s="87" t="s">
        <v>428</v>
      </c>
      <c r="C110" s="88" t="s">
        <v>429</v>
      </c>
      <c r="D110" s="193">
        <v>5529108.5459307395</v>
      </c>
      <c r="E110" s="89">
        <v>41038</v>
      </c>
      <c r="F110" s="90">
        <v>42317</v>
      </c>
      <c r="G110" s="89">
        <v>43208</v>
      </c>
      <c r="H110" s="91">
        <v>891</v>
      </c>
      <c r="I110" s="204">
        <v>1079766.7319286114</v>
      </c>
      <c r="J110" s="204">
        <v>6608875.2778593507</v>
      </c>
      <c r="K110" s="204">
        <v>5701636</v>
      </c>
      <c r="L110" s="204">
        <v>1113459.2166575342</v>
      </c>
      <c r="M110" s="205">
        <v>5699958</v>
      </c>
      <c r="N110" s="204">
        <v>5699958</v>
      </c>
      <c r="O110" s="204">
        <v>2477757.9660273972</v>
      </c>
      <c r="P110" s="204">
        <f t="shared" si="7"/>
        <v>5699958</v>
      </c>
      <c r="Q110" s="204">
        <f t="shared" si="10"/>
        <v>172527.45406926051</v>
      </c>
      <c r="R110" s="204">
        <f t="shared" si="8"/>
        <v>5529108.5459307395</v>
      </c>
      <c r="S110" s="204">
        <f t="shared" si="9"/>
        <v>8006866.5119581372</v>
      </c>
    </row>
    <row r="111" spans="1:19">
      <c r="A111" s="86">
        <v>109</v>
      </c>
      <c r="B111" s="87" t="s">
        <v>430</v>
      </c>
      <c r="C111" s="88" t="s">
        <v>431</v>
      </c>
      <c r="D111" s="193">
        <v>6070578.1356096612</v>
      </c>
      <c r="E111" s="89">
        <v>41179</v>
      </c>
      <c r="F111" s="90">
        <v>42456</v>
      </c>
      <c r="G111" s="89">
        <v>43208</v>
      </c>
      <c r="H111" s="91">
        <v>752</v>
      </c>
      <c r="I111" s="204">
        <v>1000564.3305158279</v>
      </c>
      <c r="J111" s="204">
        <v>7071142.4661254892</v>
      </c>
      <c r="K111" s="204">
        <v>6258159</v>
      </c>
      <c r="L111" s="204">
        <v>1031481.768328767</v>
      </c>
      <c r="M111" s="205">
        <v>6250112</v>
      </c>
      <c r="N111" s="204">
        <v>6250112</v>
      </c>
      <c r="O111" s="204">
        <v>2700765.7635068493</v>
      </c>
      <c r="P111" s="204">
        <f t="shared" si="7"/>
        <v>6250112</v>
      </c>
      <c r="Q111" s="204">
        <f t="shared" si="10"/>
        <v>195386.66514695901</v>
      </c>
      <c r="R111" s="204">
        <f t="shared" si="8"/>
        <v>6062772.334853041</v>
      </c>
      <c r="S111" s="204">
        <f t="shared" si="9"/>
        <v>8763538.0983598903</v>
      </c>
    </row>
    <row r="112" spans="1:19">
      <c r="A112" s="86">
        <v>110</v>
      </c>
      <c r="B112" s="87" t="s">
        <v>123</v>
      </c>
      <c r="C112" s="88" t="s">
        <v>432</v>
      </c>
      <c r="D112" s="193">
        <v>4849142.4968474144</v>
      </c>
      <c r="E112" s="89">
        <v>41099</v>
      </c>
      <c r="F112" s="90">
        <v>42378</v>
      </c>
      <c r="G112" s="89">
        <v>43208</v>
      </c>
      <c r="H112" s="91">
        <v>830</v>
      </c>
      <c r="I112" s="204">
        <v>882145.37476895424</v>
      </c>
      <c r="J112" s="204">
        <v>5731287.8716163691</v>
      </c>
      <c r="K112" s="204">
        <v>4999580</v>
      </c>
      <c r="L112" s="204">
        <v>909512.63561643846</v>
      </c>
      <c r="M112" s="205">
        <v>4998981</v>
      </c>
      <c r="N112" s="204">
        <v>4999579</v>
      </c>
      <c r="O112" s="204">
        <v>2302362.6513972604</v>
      </c>
      <c r="P112" s="204">
        <f t="shared" si="7"/>
        <v>4998981</v>
      </c>
      <c r="Q112" s="204">
        <f t="shared" si="10"/>
        <v>150437.50315258559</v>
      </c>
      <c r="R112" s="204">
        <f t="shared" si="8"/>
        <v>4849142.4968474144</v>
      </c>
      <c r="S112" s="204">
        <f t="shared" si="9"/>
        <v>7151505.1482446752</v>
      </c>
    </row>
    <row r="113" spans="1:19">
      <c r="A113" s="86">
        <v>111</v>
      </c>
      <c r="B113" s="87" t="s">
        <v>433</v>
      </c>
      <c r="C113" s="88" t="s">
        <v>434</v>
      </c>
      <c r="D113" s="193">
        <v>9650005.8201571442</v>
      </c>
      <c r="E113" s="89">
        <v>41151</v>
      </c>
      <c r="F113" s="90">
        <v>42429</v>
      </c>
      <c r="G113" s="89">
        <v>43208</v>
      </c>
      <c r="H113" s="91">
        <v>779</v>
      </c>
      <c r="I113" s="204">
        <v>1647639.34989642</v>
      </c>
      <c r="J113" s="204">
        <v>11297645.170053564</v>
      </c>
      <c r="K113" s="204">
        <v>9971901</v>
      </c>
      <c r="L113" s="204">
        <v>1702599.6447123284</v>
      </c>
      <c r="M113" s="205">
        <v>9948191</v>
      </c>
      <c r="N113" s="204">
        <v>9948191</v>
      </c>
      <c r="O113" s="204">
        <v>4170728.5556164384</v>
      </c>
      <c r="P113" s="204">
        <f t="shared" si="7"/>
        <v>9948191</v>
      </c>
      <c r="Q113" s="204">
        <f t="shared" si="10"/>
        <v>321895.17984285578</v>
      </c>
      <c r="R113" s="204">
        <f t="shared" si="8"/>
        <v>9650005.8201571442</v>
      </c>
      <c r="S113" s="204">
        <f t="shared" si="9"/>
        <v>13820734.375773583</v>
      </c>
    </row>
    <row r="114" spans="1:19">
      <c r="A114" s="86">
        <v>112</v>
      </c>
      <c r="B114" s="87" t="s">
        <v>435</v>
      </c>
      <c r="C114" s="88" t="s">
        <v>436</v>
      </c>
      <c r="D114" s="193">
        <v>5865808.5168299545</v>
      </c>
      <c r="E114" s="89">
        <v>41151</v>
      </c>
      <c r="F114" s="90">
        <v>42429</v>
      </c>
      <c r="G114" s="89">
        <v>43208</v>
      </c>
      <c r="H114" s="91">
        <v>779</v>
      </c>
      <c r="I114" s="204">
        <v>1001526.5390927199</v>
      </c>
      <c r="J114" s="204">
        <v>6867335.055922674</v>
      </c>
      <c r="K114" s="204">
        <v>6156801</v>
      </c>
      <c r="L114" s="204">
        <v>1051210.5159452055</v>
      </c>
      <c r="M114" s="205">
        <v>6047062</v>
      </c>
      <c r="N114" s="204">
        <v>6047061</v>
      </c>
      <c r="O114" s="204">
        <v>2556904.0782465753</v>
      </c>
      <c r="P114" s="204">
        <f t="shared" si="7"/>
        <v>6047062</v>
      </c>
      <c r="Q114" s="204">
        <f t="shared" si="10"/>
        <v>290992.48317004554</v>
      </c>
      <c r="R114" s="204">
        <f t="shared" si="8"/>
        <v>5865808.5168299545</v>
      </c>
      <c r="S114" s="204">
        <f t="shared" si="9"/>
        <v>8422712.5950765293</v>
      </c>
    </row>
    <row r="115" spans="1:19">
      <c r="A115" s="86">
        <v>113</v>
      </c>
      <c r="B115" s="87" t="s">
        <v>125</v>
      </c>
      <c r="C115" s="88" t="s">
        <v>437</v>
      </c>
      <c r="D115" s="193">
        <v>8536230.4782229122</v>
      </c>
      <c r="E115" s="89">
        <v>41573</v>
      </c>
      <c r="F115" s="90">
        <v>42851</v>
      </c>
      <c r="G115" s="89">
        <v>43208</v>
      </c>
      <c r="H115" s="91">
        <v>357</v>
      </c>
      <c r="I115" s="204">
        <v>667930.80125492159</v>
      </c>
      <c r="J115" s="204">
        <v>9204161.2794778347</v>
      </c>
      <c r="K115" s="204">
        <v>8800000</v>
      </c>
      <c r="L115" s="204">
        <v>688569.8630136986</v>
      </c>
      <c r="M115" s="205">
        <v>8800000</v>
      </c>
      <c r="N115" s="204">
        <v>8800000</v>
      </c>
      <c r="O115" s="204">
        <v>3143276.7123287674</v>
      </c>
      <c r="P115" s="204">
        <f t="shared" si="7"/>
        <v>8800000</v>
      </c>
      <c r="Q115" s="204">
        <f t="shared" si="10"/>
        <v>263769.52177708782</v>
      </c>
      <c r="R115" s="204">
        <f t="shared" si="8"/>
        <v>8536230.4782229122</v>
      </c>
      <c r="S115" s="204">
        <f t="shared" si="9"/>
        <v>11679507.19055168</v>
      </c>
    </row>
    <row r="116" spans="1:19">
      <c r="A116" s="86">
        <v>114</v>
      </c>
      <c r="B116" s="87" t="s">
        <v>121</v>
      </c>
      <c r="C116" s="88" t="s">
        <v>438</v>
      </c>
      <c r="D116" s="193">
        <v>5701962.3629838005</v>
      </c>
      <c r="E116" s="89">
        <v>41113</v>
      </c>
      <c r="F116" s="90">
        <v>42392</v>
      </c>
      <c r="G116" s="89">
        <v>43208</v>
      </c>
      <c r="H116" s="91">
        <v>816</v>
      </c>
      <c r="I116" s="204">
        <v>1019792.0631659793</v>
      </c>
      <c r="J116" s="204">
        <v>6721754.4261497799</v>
      </c>
      <c r="K116" s="204">
        <v>5878153</v>
      </c>
      <c r="L116" s="204">
        <v>1051303.6379178083</v>
      </c>
      <c r="M116" s="205">
        <v>5878153</v>
      </c>
      <c r="N116" s="204">
        <v>5878153</v>
      </c>
      <c r="O116" s="204">
        <v>2519095.6188493152</v>
      </c>
      <c r="P116" s="204">
        <f t="shared" si="7"/>
        <v>5878153</v>
      </c>
      <c r="Q116" s="204">
        <f t="shared" si="10"/>
        <v>176190.63701619953</v>
      </c>
      <c r="R116" s="204">
        <f t="shared" si="8"/>
        <v>5701962.3629838005</v>
      </c>
      <c r="S116" s="204">
        <f t="shared" si="9"/>
        <v>8221057.9818331152</v>
      </c>
    </row>
    <row r="117" spans="1:19">
      <c r="A117" s="86">
        <v>115</v>
      </c>
      <c r="B117" s="87" t="s">
        <v>439</v>
      </c>
      <c r="C117" s="88" t="s">
        <v>440</v>
      </c>
      <c r="D117" s="193">
        <v>4674893.7821321171</v>
      </c>
      <c r="E117" s="89">
        <v>41050</v>
      </c>
      <c r="F117" s="90">
        <v>42329</v>
      </c>
      <c r="G117" s="89">
        <v>43208</v>
      </c>
      <c r="H117" s="91">
        <v>879</v>
      </c>
      <c r="I117" s="204">
        <v>900653.50893022039</v>
      </c>
      <c r="J117" s="204">
        <v>5575547.2910623373</v>
      </c>
      <c r="K117" s="204">
        <v>4819348</v>
      </c>
      <c r="L117" s="204">
        <v>928483.70235616446</v>
      </c>
      <c r="M117" s="205">
        <v>4819348</v>
      </c>
      <c r="N117" s="204">
        <v>4819348</v>
      </c>
      <c r="O117" s="204">
        <v>2131090.488328767</v>
      </c>
      <c r="P117" s="204">
        <f t="shared" si="7"/>
        <v>4819348</v>
      </c>
      <c r="Q117" s="204">
        <f t="shared" si="10"/>
        <v>144454.21786788292</v>
      </c>
      <c r="R117" s="204">
        <f t="shared" si="8"/>
        <v>4674893.7821321171</v>
      </c>
      <c r="S117" s="204">
        <f t="shared" si="9"/>
        <v>6805984.2704608841</v>
      </c>
    </row>
    <row r="118" spans="1:19">
      <c r="A118" s="86">
        <v>116</v>
      </c>
      <c r="B118" s="87" t="s">
        <v>441</v>
      </c>
      <c r="C118" s="88" t="s">
        <v>442</v>
      </c>
      <c r="D118" s="193">
        <v>4948798.1375497133</v>
      </c>
      <c r="E118" s="89">
        <v>41455</v>
      </c>
      <c r="F118" s="90">
        <v>42734</v>
      </c>
      <c r="G118" s="89">
        <v>43208</v>
      </c>
      <c r="H118" s="91">
        <v>474</v>
      </c>
      <c r="I118" s="204">
        <v>514132.67226269894</v>
      </c>
      <c r="J118" s="204">
        <v>5462930.8098124126</v>
      </c>
      <c r="K118" s="204">
        <v>5207616</v>
      </c>
      <c r="L118" s="204">
        <v>541021.36635616445</v>
      </c>
      <c r="M118" s="205">
        <v>5101716</v>
      </c>
      <c r="N118" s="204">
        <v>5101716</v>
      </c>
      <c r="O118" s="204">
        <v>2227943.3240547944</v>
      </c>
      <c r="P118" s="204">
        <f t="shared" si="7"/>
        <v>5101716</v>
      </c>
      <c r="Q118" s="204">
        <f t="shared" si="10"/>
        <v>258817.86245028675</v>
      </c>
      <c r="R118" s="204">
        <f t="shared" si="8"/>
        <v>4948798.1375497133</v>
      </c>
      <c r="S118" s="204">
        <f t="shared" si="9"/>
        <v>7176741.4616045076</v>
      </c>
    </row>
    <row r="119" spans="1:19">
      <c r="A119" s="86">
        <v>117</v>
      </c>
      <c r="B119" s="87" t="s">
        <v>443</v>
      </c>
      <c r="C119" s="88" t="s">
        <v>444</v>
      </c>
      <c r="D119" s="193">
        <v>5165586.3808322819</v>
      </c>
      <c r="E119" s="89">
        <v>41499</v>
      </c>
      <c r="F119" s="90">
        <v>42779</v>
      </c>
      <c r="G119" s="89">
        <v>43208</v>
      </c>
      <c r="H119" s="91">
        <v>429</v>
      </c>
      <c r="I119" s="204">
        <v>485706.64271277789</v>
      </c>
      <c r="J119" s="204">
        <v>5651293.0235450594</v>
      </c>
      <c r="K119" s="204">
        <v>5349280</v>
      </c>
      <c r="L119" s="204">
        <v>502978.8756164384</v>
      </c>
      <c r="M119" s="205">
        <v>5325203</v>
      </c>
      <c r="N119" s="204">
        <v>5349279</v>
      </c>
      <c r="O119" s="204">
        <v>2430345.3852054793</v>
      </c>
      <c r="P119" s="204">
        <f t="shared" si="7"/>
        <v>5325203</v>
      </c>
      <c r="Q119" s="204">
        <f t="shared" si="10"/>
        <v>183693.61916771811</v>
      </c>
      <c r="R119" s="204">
        <f t="shared" si="8"/>
        <v>5165586.3808322819</v>
      </c>
      <c r="S119" s="204">
        <f t="shared" si="9"/>
        <v>7595931.7660377612</v>
      </c>
    </row>
    <row r="120" spans="1:19">
      <c r="A120" s="86">
        <v>118</v>
      </c>
      <c r="B120" s="87" t="s">
        <v>136</v>
      </c>
      <c r="C120" s="88" t="s">
        <v>445</v>
      </c>
      <c r="D120" s="193">
        <v>3285354.5445727035</v>
      </c>
      <c r="E120" s="89">
        <v>41019</v>
      </c>
      <c r="F120" s="90">
        <v>42297</v>
      </c>
      <c r="G120" s="89">
        <v>43208</v>
      </c>
      <c r="H120" s="91">
        <v>911</v>
      </c>
      <c r="I120" s="204">
        <v>655990.79235194146</v>
      </c>
      <c r="J120" s="204">
        <v>3941345.3369246451</v>
      </c>
      <c r="K120" s="204">
        <v>48000097</v>
      </c>
      <c r="L120" s="204">
        <v>9584238.5461917799</v>
      </c>
      <c r="M120" s="197">
        <v>3386872</v>
      </c>
      <c r="N120" s="204">
        <v>3386872</v>
      </c>
      <c r="O120" s="204">
        <v>1368522.8184109589</v>
      </c>
      <c r="P120" s="204">
        <f t="shared" si="7"/>
        <v>3386872</v>
      </c>
      <c r="Q120" s="204">
        <f t="shared" si="10"/>
        <v>44714742.455427296</v>
      </c>
      <c r="R120" s="204">
        <f t="shared" si="8"/>
        <v>3285354.5445727035</v>
      </c>
      <c r="S120" s="204">
        <f t="shared" si="9"/>
        <v>4653877.3629836626</v>
      </c>
    </row>
    <row r="121" spans="1:19">
      <c r="A121" s="86">
        <v>119</v>
      </c>
      <c r="B121" s="87" t="s">
        <v>136</v>
      </c>
      <c r="C121" s="88" t="s">
        <v>446</v>
      </c>
      <c r="D121" s="193">
        <v>2861100.9797264524</v>
      </c>
      <c r="E121" s="89">
        <v>41019</v>
      </c>
      <c r="F121" s="90">
        <v>42297</v>
      </c>
      <c r="G121" s="89">
        <v>43208</v>
      </c>
      <c r="H121" s="91">
        <v>911</v>
      </c>
      <c r="I121" s="204">
        <v>571279.56000675028</v>
      </c>
      <c r="J121" s="204">
        <v>3432380.5397332027</v>
      </c>
      <c r="K121" s="204">
        <v>0</v>
      </c>
      <c r="L121" s="204">
        <v>0</v>
      </c>
      <c r="M121" s="197">
        <v>2949509</v>
      </c>
      <c r="N121" s="204">
        <v>2949509</v>
      </c>
      <c r="O121" s="204">
        <v>1228679.5921095889</v>
      </c>
      <c r="P121" s="204">
        <f t="shared" si="7"/>
        <v>2949509</v>
      </c>
      <c r="Q121" s="204">
        <f t="shared" si="10"/>
        <v>-2861100.9797264524</v>
      </c>
      <c r="R121" s="204">
        <f t="shared" si="8"/>
        <v>2861100.9797264524</v>
      </c>
      <c r="S121" s="204">
        <f t="shared" si="9"/>
        <v>4089780.5718360413</v>
      </c>
    </row>
    <row r="122" spans="1:19">
      <c r="A122" s="86">
        <v>120</v>
      </c>
      <c r="B122" s="87" t="s">
        <v>136</v>
      </c>
      <c r="C122" s="88" t="s">
        <v>447</v>
      </c>
      <c r="D122" s="193">
        <v>5067067.6108254921</v>
      </c>
      <c r="E122" s="89">
        <v>41159</v>
      </c>
      <c r="F122" s="90">
        <v>42436</v>
      </c>
      <c r="G122" s="89">
        <v>43208</v>
      </c>
      <c r="H122" s="91">
        <v>772</v>
      </c>
      <c r="I122" s="204">
        <v>857375.60450570518</v>
      </c>
      <c r="J122" s="204">
        <v>5924443.2153311968</v>
      </c>
      <c r="K122" s="204">
        <v>0</v>
      </c>
      <c r="L122" s="204">
        <v>0</v>
      </c>
      <c r="M122" s="197">
        <v>5223640</v>
      </c>
      <c r="N122" s="204">
        <v>5223263</v>
      </c>
      <c r="O122" s="204">
        <v>2167080.3905753428</v>
      </c>
      <c r="P122" s="204">
        <f t="shared" si="7"/>
        <v>5223640</v>
      </c>
      <c r="Q122" s="204">
        <f t="shared" si="10"/>
        <v>-5067067.6108254921</v>
      </c>
      <c r="R122" s="204">
        <f t="shared" si="8"/>
        <v>5067067.6108254921</v>
      </c>
      <c r="S122" s="204">
        <f t="shared" si="9"/>
        <v>7234148.0014008349</v>
      </c>
    </row>
    <row r="123" spans="1:19">
      <c r="A123" s="86">
        <v>121</v>
      </c>
      <c r="B123" s="87" t="s">
        <v>136</v>
      </c>
      <c r="C123" s="88" t="s">
        <v>448</v>
      </c>
      <c r="D123" s="193">
        <v>5066701.9109515958</v>
      </c>
      <c r="E123" s="89">
        <v>41019</v>
      </c>
      <c r="F123" s="90">
        <v>42297</v>
      </c>
      <c r="G123" s="89">
        <v>43208</v>
      </c>
      <c r="H123" s="91">
        <v>911</v>
      </c>
      <c r="I123" s="204">
        <v>1011674.6171784995</v>
      </c>
      <c r="J123" s="204">
        <v>6078376.5281300955</v>
      </c>
      <c r="K123" s="204">
        <v>0</v>
      </c>
      <c r="L123" s="204">
        <v>0</v>
      </c>
      <c r="M123" s="197">
        <v>5223263</v>
      </c>
      <c r="N123" s="204">
        <v>5223640</v>
      </c>
      <c r="O123" s="204">
        <v>2133986.8431780823</v>
      </c>
      <c r="P123" s="204">
        <f t="shared" si="7"/>
        <v>5223263</v>
      </c>
      <c r="Q123" s="204">
        <f t="shared" si="10"/>
        <v>-5066701.9109515958</v>
      </c>
      <c r="R123" s="204">
        <f t="shared" si="8"/>
        <v>5066701.9109515958</v>
      </c>
      <c r="S123" s="204">
        <f t="shared" si="9"/>
        <v>7200688.754129678</v>
      </c>
    </row>
    <row r="124" spans="1:19">
      <c r="A124" s="86">
        <v>122</v>
      </c>
      <c r="B124" s="87" t="s">
        <v>136</v>
      </c>
      <c r="C124" s="88" t="s">
        <v>449</v>
      </c>
      <c r="D124" s="193">
        <v>5315106.217867882</v>
      </c>
      <c r="E124" s="89">
        <v>41019</v>
      </c>
      <c r="F124" s="90">
        <v>42297</v>
      </c>
      <c r="G124" s="89">
        <v>43208</v>
      </c>
      <c r="H124" s="91">
        <v>911</v>
      </c>
      <c r="I124" s="204">
        <v>1061273.8113923594</v>
      </c>
      <c r="J124" s="204">
        <v>6376380.0292602414</v>
      </c>
      <c r="K124" s="204">
        <v>0</v>
      </c>
      <c r="L124" s="204">
        <v>0</v>
      </c>
      <c r="M124" s="197">
        <v>5479343</v>
      </c>
      <c r="N124" s="204">
        <v>5479343</v>
      </c>
      <c r="O124" s="204">
        <v>2249421.4018630139</v>
      </c>
      <c r="P124" s="204">
        <f t="shared" si="7"/>
        <v>5479343</v>
      </c>
      <c r="Q124" s="204">
        <f t="shared" si="10"/>
        <v>-5315106.217867882</v>
      </c>
      <c r="R124" s="204">
        <f t="shared" si="8"/>
        <v>5315106.217867882</v>
      </c>
      <c r="S124" s="204">
        <f t="shared" si="9"/>
        <v>7564527.6197308954</v>
      </c>
    </row>
    <row r="125" spans="1:19">
      <c r="A125" s="86">
        <v>123</v>
      </c>
      <c r="B125" s="87" t="s">
        <v>450</v>
      </c>
      <c r="C125" s="88" t="s">
        <v>451</v>
      </c>
      <c r="D125" s="193">
        <v>5865808.5168299545</v>
      </c>
      <c r="E125" s="89">
        <v>41149</v>
      </c>
      <c r="F125" s="90">
        <v>42428</v>
      </c>
      <c r="G125" s="89">
        <v>43208</v>
      </c>
      <c r="H125" s="91">
        <v>780</v>
      </c>
      <c r="I125" s="204">
        <v>1002812.1957539429</v>
      </c>
      <c r="J125" s="204">
        <v>6868620.7125838976</v>
      </c>
      <c r="K125" s="204">
        <v>6056546.5999999996</v>
      </c>
      <c r="L125" s="204">
        <v>1035420.5694246574</v>
      </c>
      <c r="M125" s="205">
        <v>6047062</v>
      </c>
      <c r="N125" s="204">
        <v>6047062</v>
      </c>
      <c r="O125" s="204">
        <v>2573646.7745753429</v>
      </c>
      <c r="P125" s="204">
        <f t="shared" si="7"/>
        <v>6047062</v>
      </c>
      <c r="Q125" s="204">
        <f t="shared" si="10"/>
        <v>190738.08317004517</v>
      </c>
      <c r="R125" s="204">
        <f t="shared" si="8"/>
        <v>5865808.5168299545</v>
      </c>
      <c r="S125" s="204">
        <f t="shared" si="9"/>
        <v>8439455.2914052978</v>
      </c>
    </row>
    <row r="126" spans="1:19">
      <c r="A126" s="86">
        <v>124</v>
      </c>
      <c r="B126" s="87" t="s">
        <v>452</v>
      </c>
      <c r="C126" s="88" t="s">
        <v>453</v>
      </c>
      <c r="D126" s="193">
        <v>7652211.6597148124</v>
      </c>
      <c r="E126" s="89">
        <v>41151</v>
      </c>
      <c r="F126" s="90">
        <v>42429</v>
      </c>
      <c r="G126" s="89">
        <v>43208</v>
      </c>
      <c r="H126" s="91">
        <v>779</v>
      </c>
      <c r="I126" s="204">
        <v>1306536.522283362</v>
      </c>
      <c r="J126" s="204">
        <v>8958748.1819981746</v>
      </c>
      <c r="K126" s="204">
        <v>7888664</v>
      </c>
      <c r="L126" s="204">
        <v>1346908.3300821919</v>
      </c>
      <c r="M126" s="205">
        <v>7888665</v>
      </c>
      <c r="N126" s="204">
        <v>7888664</v>
      </c>
      <c r="O126" s="204">
        <v>3306540.1152876713</v>
      </c>
      <c r="P126" s="204">
        <f>+K126</f>
        <v>7888664</v>
      </c>
      <c r="Q126" s="204">
        <f t="shared" si="10"/>
        <v>236453.31031137891</v>
      </c>
      <c r="R126" s="204">
        <f t="shared" si="8"/>
        <v>7652210.6896886211</v>
      </c>
      <c r="S126" s="204">
        <f t="shared" si="9"/>
        <v>10958750.804976292</v>
      </c>
    </row>
    <row r="127" spans="1:19">
      <c r="A127" s="86">
        <v>125</v>
      </c>
      <c r="B127" s="87" t="s">
        <v>124</v>
      </c>
      <c r="C127" s="88" t="s">
        <v>454</v>
      </c>
      <c r="D127" s="193">
        <v>7454353.4775438933</v>
      </c>
      <c r="E127" s="89">
        <v>41086</v>
      </c>
      <c r="F127" s="90">
        <v>42364</v>
      </c>
      <c r="G127" s="89">
        <v>43208</v>
      </c>
      <c r="H127" s="91">
        <v>844</v>
      </c>
      <c r="I127" s="204">
        <v>1378953.2789144211</v>
      </c>
      <c r="J127" s="204">
        <v>8833306.7564583141</v>
      </c>
      <c r="K127" s="204">
        <v>7698055</v>
      </c>
      <c r="L127" s="204">
        <v>1424034.7221917808</v>
      </c>
      <c r="M127" s="205">
        <v>7684693</v>
      </c>
      <c r="N127" s="204">
        <v>7684693</v>
      </c>
      <c r="O127" s="204">
        <v>3217545.4592876709</v>
      </c>
      <c r="P127" s="204">
        <f t="shared" si="7"/>
        <v>7684693</v>
      </c>
      <c r="Q127" s="204">
        <f t="shared" si="10"/>
        <v>243701.52245610673</v>
      </c>
      <c r="R127" s="204">
        <f t="shared" si="8"/>
        <v>7454353.4775438933</v>
      </c>
      <c r="S127" s="204">
        <f t="shared" si="9"/>
        <v>10671898.936831564</v>
      </c>
    </row>
    <row r="128" spans="1:19">
      <c r="A128" s="86">
        <v>126</v>
      </c>
      <c r="B128" s="87" t="s">
        <v>455</v>
      </c>
      <c r="C128" s="88" t="s">
        <v>456</v>
      </c>
      <c r="D128" s="193">
        <v>6456573.867494422</v>
      </c>
      <c r="E128" s="89">
        <v>41122</v>
      </c>
      <c r="F128" s="90">
        <v>42401</v>
      </c>
      <c r="G128" s="89">
        <v>43208</v>
      </c>
      <c r="H128" s="91">
        <v>807</v>
      </c>
      <c r="I128" s="204">
        <v>1142017.5585902464</v>
      </c>
      <c r="J128" s="204">
        <v>7598591.4260846684</v>
      </c>
      <c r="K128" s="204">
        <v>6683178</v>
      </c>
      <c r="L128" s="204">
        <v>1182098.5525479452</v>
      </c>
      <c r="M128" s="205">
        <v>6656082</v>
      </c>
      <c r="N128" s="204">
        <v>6682876</v>
      </c>
      <c r="O128" s="204">
        <v>2807704.8195068496</v>
      </c>
      <c r="P128" s="204">
        <f t="shared" si="7"/>
        <v>6656082</v>
      </c>
      <c r="Q128" s="204">
        <f t="shared" si="10"/>
        <v>226604.13250557799</v>
      </c>
      <c r="R128" s="204">
        <f t="shared" si="8"/>
        <v>6456573.867494422</v>
      </c>
      <c r="S128" s="204">
        <f t="shared" si="9"/>
        <v>9264278.6870012712</v>
      </c>
    </row>
    <row r="129" spans="1:19">
      <c r="A129" s="86">
        <v>127</v>
      </c>
      <c r="B129" s="87" t="s">
        <v>457</v>
      </c>
      <c r="C129" s="88" t="s">
        <v>458</v>
      </c>
      <c r="D129" s="193">
        <v>7598606.072363954</v>
      </c>
      <c r="E129" s="89">
        <v>40809</v>
      </c>
      <c r="F129" s="90">
        <v>42086</v>
      </c>
      <c r="G129" s="89">
        <v>43208</v>
      </c>
      <c r="H129" s="91">
        <v>1122</v>
      </c>
      <c r="I129" s="204">
        <v>1868632.5508366809</v>
      </c>
      <c r="J129" s="204">
        <v>9467238.6232006345</v>
      </c>
      <c r="K129" s="204">
        <v>7833403</v>
      </c>
      <c r="L129" s="204">
        <v>1926373.2966575341</v>
      </c>
      <c r="M129" s="205">
        <v>7833403</v>
      </c>
      <c r="N129" s="204">
        <v>7833403</v>
      </c>
      <c r="O129" s="204">
        <v>3560757.3913424658</v>
      </c>
      <c r="P129" s="204">
        <f t="shared" si="7"/>
        <v>7833403</v>
      </c>
      <c r="Q129" s="204">
        <f t="shared" si="10"/>
        <v>234796.92763604596</v>
      </c>
      <c r="R129" s="204">
        <f t="shared" si="8"/>
        <v>7598606.072363954</v>
      </c>
      <c r="S129" s="204">
        <f t="shared" si="9"/>
        <v>11159363.463706419</v>
      </c>
    </row>
    <row r="130" spans="1:19">
      <c r="A130" s="86">
        <v>128</v>
      </c>
      <c r="B130" s="87" t="s">
        <v>459</v>
      </c>
      <c r="C130" s="88" t="s">
        <v>460</v>
      </c>
      <c r="D130" s="193">
        <v>5587126.7824231256</v>
      </c>
      <c r="E130" s="89">
        <v>40627</v>
      </c>
      <c r="F130" s="90">
        <v>41907</v>
      </c>
      <c r="G130" s="89">
        <v>43208</v>
      </c>
      <c r="H130" s="91">
        <v>1301</v>
      </c>
      <c r="I130" s="204">
        <v>1593173.0288071202</v>
      </c>
      <c r="J130" s="204">
        <v>7180299.811230246</v>
      </c>
      <c r="K130" s="204">
        <v>5771232</v>
      </c>
      <c r="L130" s="204">
        <v>1645670.7576986302</v>
      </c>
      <c r="M130" s="205">
        <v>5759760</v>
      </c>
      <c r="N130" s="204">
        <v>5759769</v>
      </c>
      <c r="O130" s="204">
        <v>2702632.5453150691</v>
      </c>
      <c r="P130" s="204">
        <f t="shared" si="7"/>
        <v>5759760</v>
      </c>
      <c r="Q130" s="204">
        <f t="shared" si="10"/>
        <v>184113.94781259075</v>
      </c>
      <c r="R130" s="204">
        <f t="shared" si="8"/>
        <v>5587118.0521874093</v>
      </c>
      <c r="S130" s="204">
        <f t="shared" si="9"/>
        <v>8289750.5975024784</v>
      </c>
    </row>
    <row r="131" spans="1:19">
      <c r="A131" s="86">
        <v>129</v>
      </c>
      <c r="B131" s="87" t="s">
        <v>461</v>
      </c>
      <c r="C131" s="88" t="s">
        <v>462</v>
      </c>
      <c r="D131" s="193">
        <v>5400267.727228635</v>
      </c>
      <c r="E131" s="89">
        <v>40956</v>
      </c>
      <c r="F131" s="90">
        <v>42233</v>
      </c>
      <c r="G131" s="89">
        <v>43208</v>
      </c>
      <c r="H131" s="91">
        <v>975</v>
      </c>
      <c r="I131" s="204">
        <v>1154029.8156817358</v>
      </c>
      <c r="J131" s="204">
        <v>6554297.542910371</v>
      </c>
      <c r="K131" s="204">
        <v>5580700</v>
      </c>
      <c r="L131" s="204">
        <v>1192587.9452054796</v>
      </c>
      <c r="M131" s="205">
        <v>5567136</v>
      </c>
      <c r="N131" s="204">
        <v>5567136</v>
      </c>
      <c r="O131" s="204">
        <v>2514279.155068493</v>
      </c>
      <c r="P131" s="204">
        <f t="shared" si="7"/>
        <v>5567136</v>
      </c>
      <c r="Q131" s="204">
        <f t="shared" ref="Q131:Q159" si="11">+K131-R131</f>
        <v>180432.27277136501</v>
      </c>
      <c r="R131" s="204">
        <f t="shared" si="8"/>
        <v>5400267.727228635</v>
      </c>
      <c r="S131" s="204">
        <f t="shared" si="9"/>
        <v>7914546.8822971284</v>
      </c>
    </row>
    <row r="132" spans="1:19">
      <c r="A132" s="86">
        <v>130</v>
      </c>
      <c r="B132" s="87" t="s">
        <v>463</v>
      </c>
      <c r="C132" s="88" t="s">
        <v>464</v>
      </c>
      <c r="D132" s="193">
        <v>5500056.2615190605</v>
      </c>
      <c r="E132" s="89">
        <v>41221</v>
      </c>
      <c r="F132" s="90">
        <v>42498</v>
      </c>
      <c r="G132" s="89">
        <v>43208</v>
      </c>
      <c r="H132" s="91">
        <v>710</v>
      </c>
      <c r="I132" s="204">
        <v>855899.16617611679</v>
      </c>
      <c r="J132" s="204">
        <v>6355955.4276951775</v>
      </c>
      <c r="K132" s="204">
        <v>5777903</v>
      </c>
      <c r="L132" s="204">
        <v>899136.68602739729</v>
      </c>
      <c r="M132" s="205">
        <v>5670007</v>
      </c>
      <c r="N132" s="204">
        <v>5670007</v>
      </c>
      <c r="O132" s="204">
        <v>2217950.4872328769</v>
      </c>
      <c r="P132" s="204">
        <f t="shared" ref="P132:P159" si="12">+M132</f>
        <v>5670007</v>
      </c>
      <c r="Q132" s="204">
        <f t="shared" si="11"/>
        <v>277847.70850712992</v>
      </c>
      <c r="R132" s="204">
        <f t="shared" ref="R132:R159" si="13">+P132*100/103.09</f>
        <v>5500055.2914928701</v>
      </c>
      <c r="S132" s="204">
        <f t="shared" ref="S132:S159" si="14">+R132+O132</f>
        <v>7718005.778725747</v>
      </c>
    </row>
    <row r="133" spans="1:19">
      <c r="A133" s="86">
        <v>131</v>
      </c>
      <c r="B133" s="87" t="s">
        <v>140</v>
      </c>
      <c r="C133" s="88" t="s">
        <v>465</v>
      </c>
      <c r="D133" s="193">
        <v>3547872.7325637792</v>
      </c>
      <c r="E133" s="89">
        <v>41355</v>
      </c>
      <c r="F133" s="90">
        <v>42635</v>
      </c>
      <c r="G133" s="89">
        <v>43208</v>
      </c>
      <c r="H133" s="91">
        <v>573</v>
      </c>
      <c r="I133" s="204">
        <v>445573.93441294157</v>
      </c>
      <c r="J133" s="204">
        <v>3993446.666976721</v>
      </c>
      <c r="K133" s="204">
        <v>4457763</v>
      </c>
      <c r="L133" s="204">
        <v>559846.18060273968</v>
      </c>
      <c r="M133" s="205">
        <v>3657502</v>
      </c>
      <c r="N133" s="204">
        <v>3657501</v>
      </c>
      <c r="O133" s="204">
        <v>1481000.343452055</v>
      </c>
      <c r="P133" s="204">
        <f t="shared" si="12"/>
        <v>3657502</v>
      </c>
      <c r="Q133" s="204">
        <f t="shared" si="11"/>
        <v>909890.26743622078</v>
      </c>
      <c r="R133" s="204">
        <f t="shared" si="13"/>
        <v>3547872.7325637792</v>
      </c>
      <c r="S133" s="204">
        <f t="shared" si="14"/>
        <v>5028873.0760158338</v>
      </c>
    </row>
    <row r="134" spans="1:19">
      <c r="A134" s="86">
        <v>132</v>
      </c>
      <c r="B134" s="87" t="s">
        <v>466</v>
      </c>
      <c r="C134" s="88" t="s">
        <v>467</v>
      </c>
      <c r="D134" s="193">
        <v>3547872.7325637792</v>
      </c>
      <c r="E134" s="89">
        <v>41351</v>
      </c>
      <c r="F134" s="90">
        <v>42631</v>
      </c>
      <c r="G134" s="89">
        <v>43208</v>
      </c>
      <c r="H134" s="91">
        <v>577</v>
      </c>
      <c r="I134" s="204">
        <v>448684.3981784769</v>
      </c>
      <c r="J134" s="204">
        <v>3996557.1307422561</v>
      </c>
      <c r="K134" s="204">
        <v>3789237</v>
      </c>
      <c r="L134" s="204">
        <v>479208.71210958908</v>
      </c>
      <c r="M134" s="205">
        <v>3501808</v>
      </c>
      <c r="N134" s="204">
        <v>3501807</v>
      </c>
      <c r="O134" s="204">
        <v>1396457.0018630137</v>
      </c>
      <c r="P134" s="204">
        <f t="shared" si="12"/>
        <v>3501808</v>
      </c>
      <c r="Q134" s="204">
        <f t="shared" si="11"/>
        <v>392391.52517217956</v>
      </c>
      <c r="R134" s="204">
        <f t="shared" si="13"/>
        <v>3396845.4748278204</v>
      </c>
      <c r="S134" s="204">
        <f t="shared" si="14"/>
        <v>4793302.4766908344</v>
      </c>
    </row>
    <row r="135" spans="1:19">
      <c r="A135" s="86">
        <v>133</v>
      </c>
      <c r="B135" s="87" t="s">
        <v>468</v>
      </c>
      <c r="C135" s="88" t="s">
        <v>469</v>
      </c>
      <c r="D135" s="193">
        <v>3475921.0398680763</v>
      </c>
      <c r="E135" s="89">
        <v>40960</v>
      </c>
      <c r="F135" s="90">
        <v>42237</v>
      </c>
      <c r="G135" s="89">
        <v>43208</v>
      </c>
      <c r="H135" s="91">
        <v>971</v>
      </c>
      <c r="I135" s="204">
        <v>739752.18185466353</v>
      </c>
      <c r="J135" s="204">
        <v>4215673.2217227397</v>
      </c>
      <c r="K135" s="204">
        <v>3595848</v>
      </c>
      <c r="L135" s="204">
        <v>765275.26750684937</v>
      </c>
      <c r="M135" s="205">
        <v>3583527</v>
      </c>
      <c r="N135" s="204">
        <v>3589497</v>
      </c>
      <c r="O135" s="204">
        <v>1595727.2006575342</v>
      </c>
      <c r="P135" s="204">
        <f t="shared" si="12"/>
        <v>3583527</v>
      </c>
      <c r="Q135" s="204">
        <f t="shared" si="11"/>
        <v>119732.95489378227</v>
      </c>
      <c r="R135" s="204">
        <f t="shared" si="13"/>
        <v>3476115.0451062177</v>
      </c>
      <c r="S135" s="204">
        <f t="shared" si="14"/>
        <v>5071842.2457637517</v>
      </c>
    </row>
    <row r="136" spans="1:19">
      <c r="A136" s="86">
        <v>134</v>
      </c>
      <c r="B136" s="87" t="s">
        <v>470</v>
      </c>
      <c r="C136" s="88" t="s">
        <v>471</v>
      </c>
      <c r="D136" s="193">
        <v>7643072.0729459692</v>
      </c>
      <c r="E136" s="89">
        <v>41156</v>
      </c>
      <c r="F136" s="90">
        <v>42433</v>
      </c>
      <c r="G136" s="89">
        <v>43208</v>
      </c>
      <c r="H136" s="91">
        <v>775</v>
      </c>
      <c r="I136" s="204">
        <v>1298275.2562264386</v>
      </c>
      <c r="J136" s="204">
        <v>8941347.3291724082</v>
      </c>
      <c r="K136" s="204">
        <v>7884711</v>
      </c>
      <c r="L136" s="204">
        <v>1339320.7726027397</v>
      </c>
      <c r="M136" s="205">
        <v>7879243</v>
      </c>
      <c r="N136" s="204">
        <v>7879242</v>
      </c>
      <c r="O136" s="204">
        <v>3309756.7421369869</v>
      </c>
      <c r="P136" s="204">
        <f t="shared" si="12"/>
        <v>7879243</v>
      </c>
      <c r="Q136" s="204">
        <f t="shared" si="11"/>
        <v>241638.92705403082</v>
      </c>
      <c r="R136" s="204">
        <f t="shared" si="13"/>
        <v>7643072.0729459692</v>
      </c>
      <c r="S136" s="204">
        <f t="shared" si="14"/>
        <v>10952828.815082956</v>
      </c>
    </row>
    <row r="137" spans="1:19">
      <c r="A137" s="86">
        <v>135</v>
      </c>
      <c r="B137" s="87" t="s">
        <v>472</v>
      </c>
      <c r="C137" s="88" t="s">
        <v>473</v>
      </c>
      <c r="D137" s="193">
        <v>5031963.3330099909</v>
      </c>
      <c r="E137" s="89">
        <v>40637</v>
      </c>
      <c r="F137" s="90">
        <v>41916</v>
      </c>
      <c r="G137" s="89">
        <v>43208</v>
      </c>
      <c r="H137" s="91">
        <v>1292</v>
      </c>
      <c r="I137" s="204">
        <v>1424941.7263011306</v>
      </c>
      <c r="J137" s="204">
        <v>6456905.0593111217</v>
      </c>
      <c r="K137" s="204">
        <v>4094533</v>
      </c>
      <c r="L137" s="204">
        <v>1159482.002410959</v>
      </c>
      <c r="M137" s="205">
        <v>5196812</v>
      </c>
      <c r="N137" s="204">
        <v>5263007</v>
      </c>
      <c r="O137" s="204">
        <v>2373964.1233972604</v>
      </c>
      <c r="P137" s="204">
        <f>+K137</f>
        <v>4094533</v>
      </c>
      <c r="Q137" s="204">
        <f t="shared" si="11"/>
        <v>122728.75128528476</v>
      </c>
      <c r="R137" s="204">
        <f t="shared" si="13"/>
        <v>3971804.2487147152</v>
      </c>
      <c r="S137" s="204">
        <f t="shared" si="14"/>
        <v>6345768.3721119761</v>
      </c>
    </row>
    <row r="138" spans="1:19">
      <c r="A138" s="86">
        <v>136</v>
      </c>
      <c r="B138" s="87" t="s">
        <v>474</v>
      </c>
      <c r="C138" s="88" t="s">
        <v>475</v>
      </c>
      <c r="D138" s="193">
        <v>5031963.3330099909</v>
      </c>
      <c r="E138" s="89">
        <v>41100</v>
      </c>
      <c r="F138" s="90">
        <v>42379</v>
      </c>
      <c r="G138" s="89">
        <v>43208</v>
      </c>
      <c r="H138" s="91">
        <v>829</v>
      </c>
      <c r="I138" s="204">
        <v>914300.8445074592</v>
      </c>
      <c r="J138" s="204">
        <v>5946264.1775174504</v>
      </c>
      <c r="K138" s="204">
        <v>6722241</v>
      </c>
      <c r="L138" s="204">
        <v>1221421.9811506851</v>
      </c>
      <c r="M138" s="205">
        <v>6693998</v>
      </c>
      <c r="N138" s="204">
        <v>6693997</v>
      </c>
      <c r="O138" s="204">
        <v>2854900.6855890411</v>
      </c>
      <c r="P138" s="204">
        <f t="shared" si="12"/>
        <v>6693998</v>
      </c>
      <c r="Q138" s="204">
        <f t="shared" si="11"/>
        <v>228887.61945872568</v>
      </c>
      <c r="R138" s="204">
        <f t="shared" si="13"/>
        <v>6493353.3805412743</v>
      </c>
      <c r="S138" s="204">
        <f t="shared" si="14"/>
        <v>9348254.0661303159</v>
      </c>
    </row>
    <row r="139" spans="1:19">
      <c r="A139" s="86">
        <v>137</v>
      </c>
      <c r="B139" s="87" t="s">
        <v>476</v>
      </c>
      <c r="C139" s="88" t="s">
        <v>477</v>
      </c>
      <c r="D139" s="193">
        <v>6313597.8271413324</v>
      </c>
      <c r="E139" s="89">
        <v>41001</v>
      </c>
      <c r="F139" s="90">
        <v>42279</v>
      </c>
      <c r="G139" s="89">
        <v>43208</v>
      </c>
      <c r="H139" s="91">
        <v>929</v>
      </c>
      <c r="I139" s="204">
        <v>1285552.3027757364</v>
      </c>
      <c r="J139" s="204">
        <v>7599150.1299170684</v>
      </c>
      <c r="K139" s="204">
        <v>6523962</v>
      </c>
      <c r="L139" s="204">
        <v>1328385.9064109591</v>
      </c>
      <c r="M139" s="205">
        <v>6508688</v>
      </c>
      <c r="N139" s="204">
        <v>6508686</v>
      </c>
      <c r="O139" s="204">
        <v>2996339.1202191785</v>
      </c>
      <c r="P139" s="204">
        <f t="shared" si="12"/>
        <v>6508688</v>
      </c>
      <c r="Q139" s="204">
        <f t="shared" si="11"/>
        <v>210364.17285866756</v>
      </c>
      <c r="R139" s="204">
        <f t="shared" si="13"/>
        <v>6313597.8271413324</v>
      </c>
      <c r="S139" s="204">
        <f t="shared" si="14"/>
        <v>9309936.9473605119</v>
      </c>
    </row>
    <row r="140" spans="1:19">
      <c r="A140" s="86">
        <v>138</v>
      </c>
      <c r="B140" s="87" t="s">
        <v>137</v>
      </c>
      <c r="C140" s="88" t="s">
        <v>478</v>
      </c>
      <c r="D140" s="193">
        <v>3303800.5626151906</v>
      </c>
      <c r="E140" s="89">
        <v>40974</v>
      </c>
      <c r="F140" s="90">
        <v>42253</v>
      </c>
      <c r="G140" s="89">
        <v>43208</v>
      </c>
      <c r="H140" s="91">
        <v>955</v>
      </c>
      <c r="I140" s="204">
        <v>691535.24105150835</v>
      </c>
      <c r="J140" s="204">
        <v>3995335.8036666987</v>
      </c>
      <c r="K140" s="204">
        <v>3405887</v>
      </c>
      <c r="L140" s="204">
        <v>712903.4706849315</v>
      </c>
      <c r="M140" s="205">
        <v>3405888</v>
      </c>
      <c r="N140" s="204">
        <v>3405887</v>
      </c>
      <c r="O140" s="204">
        <v>1579127.0305753425</v>
      </c>
      <c r="P140" s="204">
        <f>+K140</f>
        <v>3405887</v>
      </c>
      <c r="Q140" s="204">
        <f t="shared" si="11"/>
        <v>102087.40741100023</v>
      </c>
      <c r="R140" s="204">
        <f t="shared" si="13"/>
        <v>3303799.5925889998</v>
      </c>
      <c r="S140" s="204">
        <f t="shared" si="14"/>
        <v>4882926.6231643427</v>
      </c>
    </row>
    <row r="141" spans="1:19">
      <c r="A141" s="86">
        <v>139</v>
      </c>
      <c r="B141" s="87" t="s">
        <v>138</v>
      </c>
      <c r="C141" s="88" t="s">
        <v>479</v>
      </c>
      <c r="D141" s="193">
        <v>5858889.32001164</v>
      </c>
      <c r="E141" s="89">
        <v>41183</v>
      </c>
      <c r="F141" s="90">
        <v>42461</v>
      </c>
      <c r="G141" s="89">
        <v>43208</v>
      </c>
      <c r="H141" s="91">
        <v>747</v>
      </c>
      <c r="I141" s="204">
        <v>959252.67332574143</v>
      </c>
      <c r="J141" s="204">
        <v>6818141.9933373816</v>
      </c>
      <c r="K141" s="204">
        <v>6047062</v>
      </c>
      <c r="L141" s="204">
        <v>990061.43868493161</v>
      </c>
      <c r="M141" s="205">
        <v>6039929</v>
      </c>
      <c r="N141" s="204">
        <v>6039929</v>
      </c>
      <c r="O141" s="204">
        <v>2550664.6073424658</v>
      </c>
      <c r="P141" s="204">
        <f t="shared" si="12"/>
        <v>6039929</v>
      </c>
      <c r="Q141" s="204">
        <f t="shared" si="11"/>
        <v>188172.67998836003</v>
      </c>
      <c r="R141" s="204">
        <f t="shared" si="13"/>
        <v>5858889.32001164</v>
      </c>
      <c r="S141" s="204">
        <f t="shared" si="14"/>
        <v>8409553.9273541048</v>
      </c>
    </row>
    <row r="142" spans="1:19">
      <c r="A142" s="86">
        <v>140</v>
      </c>
      <c r="B142" s="87" t="s">
        <v>480</v>
      </c>
      <c r="C142" s="88" t="s">
        <v>481</v>
      </c>
      <c r="D142" s="193">
        <v>4484575.6135415658</v>
      </c>
      <c r="E142" s="89">
        <v>41134</v>
      </c>
      <c r="F142" s="90">
        <v>42413</v>
      </c>
      <c r="G142" s="89">
        <v>43208</v>
      </c>
      <c r="H142" s="91">
        <v>795</v>
      </c>
      <c r="I142" s="204">
        <v>781421.94252395502</v>
      </c>
      <c r="J142" s="204">
        <v>5265997.5560655212</v>
      </c>
      <c r="K142" s="204">
        <v>4623149</v>
      </c>
      <c r="L142" s="204">
        <v>805567.88054794515</v>
      </c>
      <c r="M142" s="205">
        <v>4623149</v>
      </c>
      <c r="N142" s="204">
        <v>4623147</v>
      </c>
      <c r="O142" s="204">
        <v>1985729.890410959</v>
      </c>
      <c r="P142" s="204">
        <f t="shared" si="12"/>
        <v>4623149</v>
      </c>
      <c r="Q142" s="204">
        <f t="shared" si="11"/>
        <v>138573.38645843416</v>
      </c>
      <c r="R142" s="204">
        <f t="shared" si="13"/>
        <v>4484575.6135415658</v>
      </c>
      <c r="S142" s="204">
        <f t="shared" si="14"/>
        <v>6470305.5039525246</v>
      </c>
    </row>
    <row r="143" spans="1:19">
      <c r="A143" s="86">
        <v>141</v>
      </c>
      <c r="B143" s="87" t="s">
        <v>139</v>
      </c>
      <c r="C143" s="88" t="s">
        <v>482</v>
      </c>
      <c r="D143" s="193">
        <v>5416234.3583276747</v>
      </c>
      <c r="E143" s="89">
        <v>41044</v>
      </c>
      <c r="F143" s="90">
        <v>42323</v>
      </c>
      <c r="G143" s="89">
        <v>43208</v>
      </c>
      <c r="H143" s="91">
        <v>885</v>
      </c>
      <c r="I143" s="204">
        <v>1050601.0755331491</v>
      </c>
      <c r="J143" s="204">
        <v>6466835.4338608235</v>
      </c>
      <c r="K143" s="204">
        <v>7913051</v>
      </c>
      <c r="L143" s="204">
        <v>1534915.0980821918</v>
      </c>
      <c r="M143" s="205">
        <v>5583596</v>
      </c>
      <c r="N143" s="204">
        <v>5583593</v>
      </c>
      <c r="O143" s="204">
        <v>2392243.9467397262</v>
      </c>
      <c r="P143" s="204">
        <f t="shared" si="12"/>
        <v>5583596</v>
      </c>
      <c r="Q143" s="204">
        <f t="shared" si="11"/>
        <v>2496816.6416723253</v>
      </c>
      <c r="R143" s="204">
        <f t="shared" si="13"/>
        <v>5416234.3583276747</v>
      </c>
      <c r="S143" s="204">
        <f t="shared" si="14"/>
        <v>7808478.3050674014</v>
      </c>
    </row>
    <row r="144" spans="1:19">
      <c r="A144" s="86">
        <v>142</v>
      </c>
      <c r="B144" s="87" t="s">
        <v>483</v>
      </c>
      <c r="C144" s="88" t="s">
        <v>484</v>
      </c>
      <c r="D144" s="193">
        <v>5767549.7138422737</v>
      </c>
      <c r="E144" s="89">
        <v>40955</v>
      </c>
      <c r="F144" s="90">
        <v>42232</v>
      </c>
      <c r="G144" s="89">
        <v>43208</v>
      </c>
      <c r="H144" s="91">
        <v>976</v>
      </c>
      <c r="I144" s="204">
        <v>1233781.5935802869</v>
      </c>
      <c r="J144" s="204">
        <v>7001331.3074225606</v>
      </c>
      <c r="K144" s="204">
        <v>5987295</v>
      </c>
      <c r="L144" s="204">
        <v>1280789.0235616437</v>
      </c>
      <c r="M144" s="205">
        <v>5945767</v>
      </c>
      <c r="N144" s="204">
        <v>5945766</v>
      </c>
      <c r="O144" s="204">
        <v>2710195.4921643836</v>
      </c>
      <c r="P144" s="204">
        <f t="shared" si="12"/>
        <v>5945767</v>
      </c>
      <c r="Q144" s="204">
        <f t="shared" si="11"/>
        <v>219745.28615772631</v>
      </c>
      <c r="R144" s="204">
        <f t="shared" si="13"/>
        <v>5767549.7138422737</v>
      </c>
      <c r="S144" s="204">
        <f t="shared" si="14"/>
        <v>8477745.2060066573</v>
      </c>
    </row>
    <row r="145" spans="1:19">
      <c r="A145" s="86">
        <v>143</v>
      </c>
      <c r="B145" s="87" t="s">
        <v>485</v>
      </c>
      <c r="C145" s="88" t="s">
        <v>486</v>
      </c>
      <c r="D145" s="193">
        <v>6399349.1124260351</v>
      </c>
      <c r="E145" s="89">
        <v>41061</v>
      </c>
      <c r="F145" s="90">
        <v>42339</v>
      </c>
      <c r="G145" s="89">
        <v>43208</v>
      </c>
      <c r="H145" s="91">
        <v>869</v>
      </c>
      <c r="I145" s="204">
        <v>1218856.8501256383</v>
      </c>
      <c r="J145" s="204">
        <v>7618205.9625516739</v>
      </c>
      <c r="K145" s="204">
        <v>6598999</v>
      </c>
      <c r="L145" s="204">
        <v>1256883.3163835618</v>
      </c>
      <c r="M145" s="205">
        <v>6597080</v>
      </c>
      <c r="N145" s="204">
        <v>6598999</v>
      </c>
      <c r="O145" s="204">
        <v>3034446.8743013702</v>
      </c>
      <c r="P145" s="204">
        <f t="shared" si="12"/>
        <v>6597080</v>
      </c>
      <c r="Q145" s="204">
        <f t="shared" si="11"/>
        <v>199658.61780968122</v>
      </c>
      <c r="R145" s="204">
        <f t="shared" si="13"/>
        <v>6399340.3821903188</v>
      </c>
      <c r="S145" s="204">
        <f t="shared" si="14"/>
        <v>9433787.256491689</v>
      </c>
    </row>
    <row r="146" spans="1:19">
      <c r="A146" s="86">
        <v>144</v>
      </c>
      <c r="B146" s="87" t="s">
        <v>487</v>
      </c>
      <c r="C146" s="88" t="s">
        <v>488</v>
      </c>
      <c r="D146" s="193">
        <v>5987016.1994373845</v>
      </c>
      <c r="E146" s="89">
        <v>41192</v>
      </c>
      <c r="F146" s="90">
        <v>42470</v>
      </c>
      <c r="G146" s="89">
        <v>43208</v>
      </c>
      <c r="H146" s="91">
        <v>738</v>
      </c>
      <c r="I146" s="204">
        <v>968420.37373913208</v>
      </c>
      <c r="J146" s="204">
        <v>6955436.5731765162</v>
      </c>
      <c r="K146" s="204">
        <v>6172015</v>
      </c>
      <c r="L146" s="204">
        <v>998344.56328767131</v>
      </c>
      <c r="M146" s="205">
        <v>6172015</v>
      </c>
      <c r="N146" s="204">
        <v>6172015</v>
      </c>
      <c r="O146" s="204">
        <v>2832075.0115068485</v>
      </c>
      <c r="P146" s="204">
        <f t="shared" si="12"/>
        <v>6172015</v>
      </c>
      <c r="Q146" s="204">
        <f t="shared" si="11"/>
        <v>184998.80056261551</v>
      </c>
      <c r="R146" s="204">
        <f t="shared" si="13"/>
        <v>5987016.1994373845</v>
      </c>
      <c r="S146" s="204">
        <f t="shared" si="14"/>
        <v>8819091.2109442335</v>
      </c>
    </row>
    <row r="147" spans="1:19">
      <c r="A147" s="86">
        <v>145</v>
      </c>
      <c r="B147" s="87" t="s">
        <v>489</v>
      </c>
      <c r="C147" s="88" t="s">
        <v>490</v>
      </c>
      <c r="D147" s="193">
        <v>6864407.799010573</v>
      </c>
      <c r="E147" s="89">
        <v>41151</v>
      </c>
      <c r="F147" s="90">
        <v>42429</v>
      </c>
      <c r="G147" s="89">
        <v>43208</v>
      </c>
      <c r="H147" s="91">
        <v>779</v>
      </c>
      <c r="I147" s="204">
        <v>1172027.1069433941</v>
      </c>
      <c r="J147" s="204">
        <v>8036434.905953967</v>
      </c>
      <c r="K147" s="204">
        <v>7022600</v>
      </c>
      <c r="L147" s="204">
        <v>1199036.8</v>
      </c>
      <c r="M147" s="205">
        <v>7022600</v>
      </c>
      <c r="N147" s="204">
        <v>7022600</v>
      </c>
      <c r="O147" s="204">
        <v>2918155.3972602738</v>
      </c>
      <c r="P147" s="204">
        <f t="shared" si="12"/>
        <v>7022600</v>
      </c>
      <c r="Q147" s="204">
        <f t="shared" si="11"/>
        <v>210494.07313997485</v>
      </c>
      <c r="R147" s="204">
        <f t="shared" si="13"/>
        <v>6812105.9268600252</v>
      </c>
      <c r="S147" s="204">
        <f t="shared" si="14"/>
        <v>9730261.324120298</v>
      </c>
    </row>
    <row r="148" spans="1:19">
      <c r="A148" s="86">
        <v>146</v>
      </c>
      <c r="B148" s="87" t="s">
        <v>491</v>
      </c>
      <c r="C148" s="88" t="s">
        <v>492</v>
      </c>
      <c r="D148" s="193">
        <v>6313120.5742555046</v>
      </c>
      <c r="E148" s="89">
        <v>41550</v>
      </c>
      <c r="F148" s="90">
        <v>42828</v>
      </c>
      <c r="G148" s="89">
        <v>43208</v>
      </c>
      <c r="H148" s="91">
        <v>380</v>
      </c>
      <c r="I148" s="204">
        <v>525805.11084210232</v>
      </c>
      <c r="J148" s="204">
        <v>6838925.6850976069</v>
      </c>
      <c r="K148" s="204">
        <v>6518961</v>
      </c>
      <c r="L148" s="204">
        <v>542949.08054794522</v>
      </c>
      <c r="M148" s="205">
        <v>6508196</v>
      </c>
      <c r="N148" s="204">
        <v>6508195</v>
      </c>
      <c r="O148" s="204">
        <v>2982628.232109589</v>
      </c>
      <c r="P148" s="204">
        <f t="shared" si="12"/>
        <v>6508196</v>
      </c>
      <c r="Q148" s="204">
        <f t="shared" si="11"/>
        <v>205840.42574449535</v>
      </c>
      <c r="R148" s="204">
        <f t="shared" si="13"/>
        <v>6313120.5742555046</v>
      </c>
      <c r="S148" s="204">
        <f t="shared" si="14"/>
        <v>9295748.8063650932</v>
      </c>
    </row>
    <row r="149" spans="1:19">
      <c r="A149" s="86">
        <v>147</v>
      </c>
      <c r="B149" s="87" t="s">
        <v>493</v>
      </c>
      <c r="C149" s="88" t="s">
        <v>494</v>
      </c>
      <c r="D149" s="193">
        <v>8153738.480938985</v>
      </c>
      <c r="E149" s="89">
        <v>41139</v>
      </c>
      <c r="F149" s="90">
        <v>42418</v>
      </c>
      <c r="G149" s="89">
        <v>43208</v>
      </c>
      <c r="H149" s="91">
        <v>790</v>
      </c>
      <c r="I149" s="204">
        <v>1411825.4027269697</v>
      </c>
      <c r="J149" s="204">
        <v>9565563.8836659547</v>
      </c>
      <c r="K149" s="204">
        <v>8405683</v>
      </c>
      <c r="L149" s="204">
        <v>1455449.7687671233</v>
      </c>
      <c r="M149" s="205">
        <v>8405689</v>
      </c>
      <c r="N149" s="204">
        <v>8405683</v>
      </c>
      <c r="O149" s="204">
        <v>3604903.3240547939</v>
      </c>
      <c r="P149" s="204">
        <f>+K149</f>
        <v>8405683</v>
      </c>
      <c r="Q149" s="204">
        <f t="shared" si="11"/>
        <v>251950.33921815921</v>
      </c>
      <c r="R149" s="204">
        <f t="shared" si="13"/>
        <v>8153732.6607818408</v>
      </c>
      <c r="S149" s="204">
        <f t="shared" si="14"/>
        <v>11758635.984836634</v>
      </c>
    </row>
    <row r="150" spans="1:19">
      <c r="A150" s="86">
        <v>148</v>
      </c>
      <c r="B150" s="87" t="s">
        <v>495</v>
      </c>
      <c r="C150" s="88" t="s">
        <v>496</v>
      </c>
      <c r="D150" s="193">
        <v>5768803.9577068575</v>
      </c>
      <c r="E150" s="89">
        <v>41149</v>
      </c>
      <c r="F150" s="90">
        <v>42428</v>
      </c>
      <c r="G150" s="89">
        <v>43208</v>
      </c>
      <c r="H150" s="91">
        <v>780</v>
      </c>
      <c r="I150" s="204">
        <v>986228.40263262438</v>
      </c>
      <c r="J150" s="204">
        <v>6755032.3603394814</v>
      </c>
      <c r="K150" s="204">
        <v>5947060</v>
      </c>
      <c r="L150" s="204">
        <v>1016702.8602739725</v>
      </c>
      <c r="M150" s="205">
        <v>5947060</v>
      </c>
      <c r="N150" s="204">
        <v>5947059</v>
      </c>
      <c r="O150" s="204">
        <v>2529524.0414246572</v>
      </c>
      <c r="P150" s="204">
        <f t="shared" si="12"/>
        <v>5947060</v>
      </c>
      <c r="Q150" s="204">
        <f t="shared" si="11"/>
        <v>178256.04229314253</v>
      </c>
      <c r="R150" s="204">
        <f t="shared" si="13"/>
        <v>5768803.9577068575</v>
      </c>
      <c r="S150" s="204">
        <f t="shared" si="14"/>
        <v>8298327.9991315147</v>
      </c>
    </row>
    <row r="151" spans="1:19">
      <c r="A151" s="86">
        <v>149</v>
      </c>
      <c r="B151" s="87" t="s">
        <v>497</v>
      </c>
      <c r="C151" s="88" t="s">
        <v>498</v>
      </c>
      <c r="D151" s="193">
        <v>6618557.5710544186</v>
      </c>
      <c r="E151" s="89">
        <v>40620</v>
      </c>
      <c r="F151" s="90">
        <v>41900</v>
      </c>
      <c r="G151" s="89">
        <v>43208</v>
      </c>
      <c r="H151" s="91">
        <v>1308</v>
      </c>
      <c r="I151" s="204">
        <v>1897440.7239318748</v>
      </c>
      <c r="J151" s="204">
        <v>8515998.2949862927</v>
      </c>
      <c r="K151" s="204">
        <v>6809280</v>
      </c>
      <c r="L151" s="204">
        <v>1952117.9704109589</v>
      </c>
      <c r="M151" s="205">
        <v>6823071</v>
      </c>
      <c r="N151" s="204">
        <v>6821466</v>
      </c>
      <c r="O151" s="204">
        <v>3143646.9865205479</v>
      </c>
      <c r="P151" s="204">
        <f>+K151</f>
        <v>6809280</v>
      </c>
      <c r="Q151" s="204">
        <f t="shared" si="11"/>
        <v>204100.06014162395</v>
      </c>
      <c r="R151" s="204">
        <f t="shared" si="13"/>
        <v>6605179.939858376</v>
      </c>
      <c r="S151" s="204">
        <f t="shared" si="14"/>
        <v>9748826.9263789244</v>
      </c>
    </row>
    <row r="152" spans="1:19">
      <c r="A152" s="86">
        <v>150</v>
      </c>
      <c r="B152" s="87" t="s">
        <v>497</v>
      </c>
      <c r="C152" s="88" t="s">
        <v>499</v>
      </c>
      <c r="D152" s="193">
        <v>6618557.5710544186</v>
      </c>
      <c r="E152" s="89">
        <v>40620</v>
      </c>
      <c r="F152" s="90">
        <v>41900</v>
      </c>
      <c r="G152" s="89">
        <v>43208</v>
      </c>
      <c r="H152" s="91">
        <v>1308</v>
      </c>
      <c r="I152" s="204">
        <v>1897440.7239318748</v>
      </c>
      <c r="J152" s="204">
        <v>8515998.2949862927</v>
      </c>
      <c r="K152" s="204">
        <v>6809280</v>
      </c>
      <c r="L152" s="204">
        <v>1952117.9704109589</v>
      </c>
      <c r="M152" s="205">
        <v>6823071</v>
      </c>
      <c r="N152" s="204">
        <v>6821466</v>
      </c>
      <c r="O152" s="204">
        <v>3143646.9865205479</v>
      </c>
      <c r="P152" s="204">
        <f>+K152</f>
        <v>6809280</v>
      </c>
      <c r="Q152" s="204">
        <f t="shared" si="11"/>
        <v>204100.06014162395</v>
      </c>
      <c r="R152" s="204">
        <f t="shared" si="13"/>
        <v>6605179.939858376</v>
      </c>
      <c r="S152" s="204">
        <f t="shared" si="14"/>
        <v>9748826.9263789244</v>
      </c>
    </row>
    <row r="153" spans="1:19">
      <c r="A153" s="86">
        <v>151</v>
      </c>
      <c r="B153" s="87" t="s">
        <v>500</v>
      </c>
      <c r="C153" s="88" t="s">
        <v>501</v>
      </c>
      <c r="D153" s="193">
        <v>5168763.2166068479</v>
      </c>
      <c r="E153" s="89">
        <v>41499</v>
      </c>
      <c r="F153" s="90">
        <v>42779</v>
      </c>
      <c r="G153" s="89">
        <v>43208</v>
      </c>
      <c r="H153" s="91">
        <v>429</v>
      </c>
      <c r="I153" s="204">
        <v>486005.35231218365</v>
      </c>
      <c r="J153" s="204">
        <v>5654768.5689190319</v>
      </c>
      <c r="K153" s="204">
        <v>5332218</v>
      </c>
      <c r="L153" s="204">
        <v>501374.58016438351</v>
      </c>
      <c r="M153" s="205">
        <v>5328478</v>
      </c>
      <c r="N153" s="204">
        <v>5328478</v>
      </c>
      <c r="O153" s="204">
        <v>2455964.4032876715</v>
      </c>
      <c r="P153" s="204">
        <f t="shared" si="12"/>
        <v>5328478</v>
      </c>
      <c r="Q153" s="204">
        <f t="shared" si="11"/>
        <v>163454.78339315206</v>
      </c>
      <c r="R153" s="204">
        <f t="shared" si="13"/>
        <v>5168763.2166068479</v>
      </c>
      <c r="S153" s="204">
        <f t="shared" si="14"/>
        <v>7624727.6198945194</v>
      </c>
    </row>
    <row r="154" spans="1:19">
      <c r="A154" s="86">
        <v>152</v>
      </c>
      <c r="B154" s="87" t="s">
        <v>502</v>
      </c>
      <c r="C154" s="88" t="s">
        <v>503</v>
      </c>
      <c r="D154" s="193">
        <v>6605179.939858376</v>
      </c>
      <c r="E154" s="89">
        <v>40623</v>
      </c>
      <c r="F154" s="90">
        <v>41903</v>
      </c>
      <c r="G154" s="89">
        <v>43208</v>
      </c>
      <c r="H154" s="91">
        <v>1305</v>
      </c>
      <c r="I154" s="204">
        <v>1889262.4266334644</v>
      </c>
      <c r="J154" s="204">
        <v>8494442.3664918412</v>
      </c>
      <c r="K154" s="204">
        <v>6809280</v>
      </c>
      <c r="L154" s="204">
        <v>1947640.6356164385</v>
      </c>
      <c r="M154" s="205">
        <v>6809280</v>
      </c>
      <c r="N154" s="204">
        <v>6809280</v>
      </c>
      <c r="O154" s="204">
        <v>3141321.6760547943</v>
      </c>
      <c r="P154" s="204">
        <f t="shared" si="12"/>
        <v>6809280</v>
      </c>
      <c r="Q154" s="204">
        <f t="shared" si="11"/>
        <v>204100.06014162395</v>
      </c>
      <c r="R154" s="204">
        <f t="shared" si="13"/>
        <v>6605179.939858376</v>
      </c>
      <c r="S154" s="204">
        <f t="shared" si="14"/>
        <v>9746501.6159131713</v>
      </c>
    </row>
    <row r="155" spans="1:19">
      <c r="A155" s="86">
        <v>153</v>
      </c>
      <c r="B155" s="87" t="s">
        <v>504</v>
      </c>
      <c r="C155" s="88" t="s">
        <v>505</v>
      </c>
      <c r="D155" s="193">
        <v>6606667.9600349208</v>
      </c>
      <c r="E155" s="89">
        <v>40626</v>
      </c>
      <c r="F155" s="90">
        <v>41906</v>
      </c>
      <c r="G155" s="89">
        <v>43208</v>
      </c>
      <c r="H155" s="91">
        <v>1302</v>
      </c>
      <c r="I155" s="204">
        <v>1885343.9307321568</v>
      </c>
      <c r="J155" s="204">
        <v>8492011.890767077</v>
      </c>
      <c r="K155" s="204">
        <v>6810814</v>
      </c>
      <c r="L155" s="204">
        <v>1943601.0581917807</v>
      </c>
      <c r="M155" s="205">
        <v>6810814</v>
      </c>
      <c r="N155" s="204">
        <v>6810814</v>
      </c>
      <c r="O155" s="204">
        <v>3129366.8740821923</v>
      </c>
      <c r="P155" s="204">
        <f t="shared" si="12"/>
        <v>6810814</v>
      </c>
      <c r="Q155" s="204">
        <f t="shared" si="11"/>
        <v>204146.03996507917</v>
      </c>
      <c r="R155" s="204">
        <f t="shared" si="13"/>
        <v>6606667.9600349208</v>
      </c>
      <c r="S155" s="204">
        <f t="shared" si="14"/>
        <v>9736034.8341171127</v>
      </c>
    </row>
    <row r="156" spans="1:19">
      <c r="A156" s="100">
        <v>154</v>
      </c>
      <c r="B156" s="87" t="s">
        <v>260</v>
      </c>
      <c r="C156" s="88" t="s">
        <v>506</v>
      </c>
      <c r="D156" s="193">
        <v>5851970.1231933264</v>
      </c>
      <c r="E156" s="89">
        <v>41830</v>
      </c>
      <c r="F156" s="90">
        <v>43110</v>
      </c>
      <c r="G156" s="89">
        <v>43208</v>
      </c>
      <c r="H156" s="91">
        <v>98</v>
      </c>
      <c r="I156" s="204">
        <v>125697.11168722104</v>
      </c>
      <c r="J156" s="204">
        <v>5977667.234880547</v>
      </c>
      <c r="K156" s="204">
        <v>6133689</v>
      </c>
      <c r="L156" s="204">
        <v>131748.27879452053</v>
      </c>
      <c r="M156" s="205">
        <v>6032796</v>
      </c>
      <c r="N156" s="204">
        <v>6032796</v>
      </c>
      <c r="O156" s="204">
        <v>2570110.6974246576</v>
      </c>
      <c r="P156" s="204">
        <f t="shared" si="12"/>
        <v>6032796</v>
      </c>
      <c r="Q156" s="204">
        <f t="shared" si="11"/>
        <v>281718.87680667359</v>
      </c>
      <c r="R156" s="204">
        <f t="shared" si="13"/>
        <v>5851970.1231933264</v>
      </c>
      <c r="S156" s="204">
        <f t="shared" si="14"/>
        <v>8422080.820617985</v>
      </c>
    </row>
    <row r="157" spans="1:19">
      <c r="A157" s="86">
        <v>155</v>
      </c>
      <c r="B157" s="87" t="s">
        <v>111</v>
      </c>
      <c r="C157" s="88" t="s">
        <v>112</v>
      </c>
      <c r="D157" s="193">
        <v>5377166.5534969438</v>
      </c>
      <c r="E157" s="89">
        <v>41034</v>
      </c>
      <c r="F157" s="90">
        <v>42313</v>
      </c>
      <c r="G157" s="89">
        <v>43208</v>
      </c>
      <c r="H157" s="91">
        <v>895</v>
      </c>
      <c r="I157" s="204">
        <v>1054808.5622750171</v>
      </c>
      <c r="J157" s="204">
        <v>6431975.1157719605</v>
      </c>
      <c r="K157" s="204">
        <v>5556305</v>
      </c>
      <c r="L157" s="204">
        <v>1089949.1452054796</v>
      </c>
      <c r="M157" s="205">
        <v>5543321</v>
      </c>
      <c r="N157" s="204">
        <v>5543321</v>
      </c>
      <c r="O157" s="204">
        <v>2480442.9488219176</v>
      </c>
      <c r="P157" s="204">
        <f>+M157</f>
        <v>5543321</v>
      </c>
      <c r="Q157" s="204">
        <f t="shared" si="11"/>
        <v>179138.44650305621</v>
      </c>
      <c r="R157" s="204">
        <f>+P157*100/103.09</f>
        <v>5377166.5534969438</v>
      </c>
      <c r="S157" s="204">
        <f t="shared" si="14"/>
        <v>7857609.502318861</v>
      </c>
    </row>
    <row r="158" spans="1:19" ht="18" customHeight="1">
      <c r="A158" s="100">
        <v>156</v>
      </c>
      <c r="B158" s="87" t="s">
        <v>507</v>
      </c>
      <c r="C158" s="88" t="s">
        <v>508</v>
      </c>
      <c r="D158" s="193" t="s">
        <v>509</v>
      </c>
      <c r="E158" s="91"/>
      <c r="F158" s="90">
        <v>1277</v>
      </c>
      <c r="G158" s="89">
        <v>43208</v>
      </c>
      <c r="H158" s="91">
        <v>41931</v>
      </c>
      <c r="I158" s="204"/>
      <c r="J158" s="204"/>
      <c r="K158" s="204">
        <v>500000</v>
      </c>
      <c r="L158" s="204">
        <v>4595178.0821917811</v>
      </c>
      <c r="M158" s="204">
        <v>500000</v>
      </c>
      <c r="N158" s="204">
        <v>500000</v>
      </c>
      <c r="O158" s="204">
        <v>289972.60273972602</v>
      </c>
      <c r="P158" s="204">
        <f t="shared" si="12"/>
        <v>500000</v>
      </c>
      <c r="Q158" s="204">
        <f t="shared" si="11"/>
        <v>14986.90464642545</v>
      </c>
      <c r="R158" s="204">
        <f t="shared" si="13"/>
        <v>485013.09535357455</v>
      </c>
      <c r="S158" s="204">
        <f t="shared" si="14"/>
        <v>774985.69809330057</v>
      </c>
    </row>
    <row r="159" spans="1:19" ht="17.25" customHeight="1" thickBot="1">
      <c r="A159" s="86">
        <v>157</v>
      </c>
      <c r="B159" s="101" t="s">
        <v>510</v>
      </c>
      <c r="C159" s="102" t="s">
        <v>511</v>
      </c>
      <c r="D159" s="194" t="s">
        <v>509</v>
      </c>
      <c r="E159" s="103"/>
      <c r="F159" s="104">
        <v>1277</v>
      </c>
      <c r="G159" s="105">
        <v>43208</v>
      </c>
      <c r="H159" s="103">
        <v>41931</v>
      </c>
      <c r="I159" s="208"/>
      <c r="J159" s="208"/>
      <c r="K159" s="208">
        <v>600000</v>
      </c>
      <c r="L159" s="208">
        <v>5514213.6986301374</v>
      </c>
      <c r="M159" s="208">
        <v>600000</v>
      </c>
      <c r="N159" s="208">
        <v>600000</v>
      </c>
      <c r="O159" s="208">
        <v>300493.15068493149</v>
      </c>
      <c r="P159" s="204">
        <f t="shared" si="12"/>
        <v>600000</v>
      </c>
      <c r="Q159" s="204">
        <f t="shared" si="11"/>
        <v>17984.285575710586</v>
      </c>
      <c r="R159" s="204">
        <f t="shared" si="13"/>
        <v>582015.71442428941</v>
      </c>
      <c r="S159" s="204">
        <f t="shared" si="14"/>
        <v>882508.86510922085</v>
      </c>
    </row>
    <row r="160" spans="1:19">
      <c r="A160" s="106"/>
      <c r="B160" s="107" t="s">
        <v>512</v>
      </c>
      <c r="C160" s="108"/>
      <c r="D160" s="195">
        <f>SUM(D3:D156)</f>
        <v>919221327.98525584</v>
      </c>
      <c r="E160" s="109"/>
      <c r="F160" s="109"/>
      <c r="G160" s="109"/>
      <c r="H160" s="109"/>
      <c r="I160" s="195">
        <f t="shared" ref="I160:J160" si="15">SUM(I3:I156)</f>
        <v>165486814.53277618</v>
      </c>
      <c r="J160" s="195">
        <f t="shared" si="15"/>
        <v>1084708142.5180311</v>
      </c>
      <c r="K160" s="195">
        <f>SUM(K3:K159)</f>
        <v>987468664.70000005</v>
      </c>
      <c r="L160" s="195">
        <f t="shared" ref="L160:R160" si="16">SUM(L3:L159)</f>
        <v>188635918.64858741</v>
      </c>
      <c r="M160" s="195">
        <f t="shared" si="16"/>
        <v>964027908</v>
      </c>
      <c r="N160" s="195">
        <f>SUM(N3:N159)</f>
        <v>957108066.61000001</v>
      </c>
      <c r="O160" s="195">
        <f t="shared" si="16"/>
        <v>407811773.78828692</v>
      </c>
      <c r="P160" s="195">
        <f t="shared" si="16"/>
        <v>954382084.00999999</v>
      </c>
      <c r="Q160" s="195">
        <f t="shared" si="16"/>
        <v>61693047.268629402</v>
      </c>
      <c r="R160" s="195">
        <f t="shared" si="16"/>
        <v>925775617.43137097</v>
      </c>
      <c r="S160" s="195">
        <f>SUM(S3:S159)</f>
        <v>1333587391.2196581</v>
      </c>
    </row>
    <row r="161" spans="1:19">
      <c r="A161" s="92"/>
      <c r="B161" s="87"/>
      <c r="C161" s="88"/>
      <c r="D161" s="196"/>
      <c r="E161" s="110"/>
      <c r="F161" s="110"/>
      <c r="G161" s="110"/>
      <c r="H161" s="110"/>
      <c r="I161" s="196"/>
      <c r="J161" s="196"/>
      <c r="K161" s="196"/>
      <c r="L161" s="196"/>
      <c r="M161" s="209"/>
      <c r="N161" s="196"/>
      <c r="O161" s="196"/>
      <c r="P161" s="196"/>
      <c r="Q161" s="196"/>
      <c r="R161" s="196"/>
      <c r="S161" s="196"/>
    </row>
    <row r="162" spans="1:19">
      <c r="A162" s="92">
        <v>1</v>
      </c>
      <c r="B162" s="87" t="s">
        <v>261</v>
      </c>
      <c r="C162" s="88" t="s">
        <v>262</v>
      </c>
      <c r="D162" s="197">
        <v>6201909.0115433112</v>
      </c>
      <c r="E162" s="94">
        <v>41047</v>
      </c>
      <c r="F162" s="90">
        <v>42326</v>
      </c>
      <c r="G162" s="89">
        <v>43208</v>
      </c>
      <c r="H162" s="91">
        <v>882</v>
      </c>
      <c r="I162" s="204">
        <v>1198922.4653547837</v>
      </c>
      <c r="J162" s="204">
        <v>7400831.4768980946</v>
      </c>
      <c r="K162" s="207">
        <v>6393548</v>
      </c>
      <c r="L162" s="204">
        <v>1235969.1695342467</v>
      </c>
      <c r="M162" s="205">
        <v>6572472</v>
      </c>
      <c r="N162" s="204">
        <v>6377874</v>
      </c>
      <c r="O162" s="204">
        <v>2769908.4745205482</v>
      </c>
      <c r="P162" s="204">
        <f t="shared" ref="P162:P189" si="17">+M162</f>
        <v>6572472</v>
      </c>
      <c r="Q162" s="204">
        <f t="shared" ref="Q162:Q183" si="18">+K162-R162</f>
        <v>18078.022310602479</v>
      </c>
      <c r="R162" s="204">
        <f t="shared" ref="R162:R195" si="19">+P162*100/103.09</f>
        <v>6375469.9776893975</v>
      </c>
      <c r="S162" s="204">
        <f t="shared" ref="S162:S184" si="20">+R162+O162</f>
        <v>9145378.4522099458</v>
      </c>
    </row>
    <row r="163" spans="1:19">
      <c r="A163" s="92">
        <v>2</v>
      </c>
      <c r="B163" s="87" t="s">
        <v>263</v>
      </c>
      <c r="C163" s="88" t="s">
        <v>264</v>
      </c>
      <c r="D163" s="197">
        <v>3736436.123775342</v>
      </c>
      <c r="E163" s="111">
        <v>40832</v>
      </c>
      <c r="F163" s="90">
        <v>42110</v>
      </c>
      <c r="G163" s="89">
        <v>43208</v>
      </c>
      <c r="H163" s="91">
        <v>1098</v>
      </c>
      <c r="I163" s="204">
        <v>899201.5044176057</v>
      </c>
      <c r="J163" s="204">
        <v>4635637.6281929482</v>
      </c>
      <c r="K163" s="207">
        <v>3851892</v>
      </c>
      <c r="L163" s="204">
        <v>926986.83090410952</v>
      </c>
      <c r="M163" s="205">
        <v>3800026</v>
      </c>
      <c r="N163" s="204">
        <v>3800025</v>
      </c>
      <c r="O163" s="204">
        <v>1913950.4155616439</v>
      </c>
      <c r="P163" s="204">
        <f t="shared" si="17"/>
        <v>3800026</v>
      </c>
      <c r="Q163" s="204">
        <f t="shared" si="18"/>
        <v>165767.25463187508</v>
      </c>
      <c r="R163" s="204">
        <f t="shared" si="19"/>
        <v>3686124.7453681249</v>
      </c>
      <c r="S163" s="204">
        <f t="shared" si="20"/>
        <v>5600075.1609297693</v>
      </c>
    </row>
    <row r="164" spans="1:19">
      <c r="A164" s="92">
        <v>3</v>
      </c>
      <c r="B164" s="87" t="s">
        <v>265</v>
      </c>
      <c r="C164" s="88" t="s">
        <v>513</v>
      </c>
      <c r="D164" s="197">
        <v>5918612.8625472886</v>
      </c>
      <c r="E164" s="111">
        <v>41149</v>
      </c>
      <c r="F164" s="90">
        <v>42428</v>
      </c>
      <c r="G164" s="89">
        <v>43209</v>
      </c>
      <c r="H164" s="91">
        <v>781</v>
      </c>
      <c r="I164" s="204">
        <v>1013136.7990464509</v>
      </c>
      <c r="J164" s="204">
        <v>6931749.6615937399</v>
      </c>
      <c r="K164" s="207">
        <v>6101498</v>
      </c>
      <c r="L164" s="204">
        <v>1044442.7261369864</v>
      </c>
      <c r="M164" s="205">
        <v>6051498</v>
      </c>
      <c r="N164" s="204">
        <v>6051498</v>
      </c>
      <c r="O164" s="204">
        <v>2547992.9968219176</v>
      </c>
      <c r="P164" s="204">
        <f t="shared" si="17"/>
        <v>6051498</v>
      </c>
      <c r="Q164" s="204">
        <f t="shared" si="18"/>
        <v>231386.44698806852</v>
      </c>
      <c r="R164" s="204">
        <f t="shared" si="19"/>
        <v>5870111.5530119315</v>
      </c>
      <c r="S164" s="204">
        <f t="shared" si="20"/>
        <v>8418104.5498338491</v>
      </c>
    </row>
    <row r="165" spans="1:19">
      <c r="A165" s="92">
        <v>4</v>
      </c>
      <c r="B165" s="87" t="s">
        <v>266</v>
      </c>
      <c r="C165" s="88" t="s">
        <v>514</v>
      </c>
      <c r="D165" s="197">
        <v>4580431.6616548644</v>
      </c>
      <c r="E165" s="94">
        <v>40551</v>
      </c>
      <c r="F165" s="90">
        <v>41828</v>
      </c>
      <c r="G165" s="89">
        <v>43208</v>
      </c>
      <c r="H165" s="91">
        <v>1380</v>
      </c>
      <c r="I165" s="204">
        <v>1385423.7135525947</v>
      </c>
      <c r="J165" s="204">
        <v>5965855.3752074596</v>
      </c>
      <c r="K165" s="207">
        <v>4721967</v>
      </c>
      <c r="L165" s="204">
        <v>1428233.3063013698</v>
      </c>
      <c r="M165" s="205">
        <v>4721967</v>
      </c>
      <c r="N165" s="204">
        <v>4721967</v>
      </c>
      <c r="O165" s="204">
        <v>2066757.8119452053</v>
      </c>
      <c r="P165" s="204">
        <f t="shared" si="17"/>
        <v>4721967</v>
      </c>
      <c r="Q165" s="204">
        <f t="shared" si="18"/>
        <v>141535.33834513556</v>
      </c>
      <c r="R165" s="204">
        <f t="shared" si="19"/>
        <v>4580431.6616548644</v>
      </c>
      <c r="S165" s="204">
        <f t="shared" si="20"/>
        <v>6647189.47360007</v>
      </c>
    </row>
    <row r="166" spans="1:19">
      <c r="A166" s="92">
        <v>5</v>
      </c>
      <c r="B166" s="87" t="s">
        <v>270</v>
      </c>
      <c r="C166" s="88" t="s">
        <v>515</v>
      </c>
      <c r="D166" s="197">
        <v>2951518.0909884567</v>
      </c>
      <c r="E166" s="94">
        <v>41025</v>
      </c>
      <c r="F166" s="90">
        <v>42303</v>
      </c>
      <c r="G166" s="89">
        <v>43209</v>
      </c>
      <c r="H166" s="91">
        <v>906</v>
      </c>
      <c r="I166" s="204">
        <v>586098.71571189957</v>
      </c>
      <c r="J166" s="204">
        <v>3537616.8067003563</v>
      </c>
      <c r="K166" s="207">
        <v>3044382</v>
      </c>
      <c r="L166" s="204">
        <v>604539.19824657531</v>
      </c>
      <c r="M166" s="205">
        <v>3042720</v>
      </c>
      <c r="N166" s="204">
        <v>3044382</v>
      </c>
      <c r="O166" s="204">
        <v>1252881.3396164384</v>
      </c>
      <c r="P166" s="204">
        <f t="shared" si="17"/>
        <v>3042720</v>
      </c>
      <c r="Q166" s="204">
        <f t="shared" si="18"/>
        <v>92863.909011543263</v>
      </c>
      <c r="R166" s="204">
        <f t="shared" si="19"/>
        <v>2951518.0909884567</v>
      </c>
      <c r="S166" s="204">
        <f t="shared" si="20"/>
        <v>4204399.4306048956</v>
      </c>
    </row>
    <row r="167" spans="1:19">
      <c r="A167" s="92">
        <v>6</v>
      </c>
      <c r="B167" s="87" t="s">
        <v>299</v>
      </c>
      <c r="C167" s="88" t="s">
        <v>300</v>
      </c>
      <c r="D167" s="197">
        <v>6052616.1606363365</v>
      </c>
      <c r="E167" s="94">
        <v>41173</v>
      </c>
      <c r="F167" s="90">
        <v>42450</v>
      </c>
      <c r="G167" s="89">
        <v>43208</v>
      </c>
      <c r="H167" s="91">
        <v>758</v>
      </c>
      <c r="I167" s="204">
        <v>1005563.4081670889</v>
      </c>
      <c r="J167" s="204">
        <v>7058179.5688034259</v>
      </c>
      <c r="K167" s="207">
        <v>6239642</v>
      </c>
      <c r="L167" s="204">
        <v>1036635.317479452</v>
      </c>
      <c r="M167" s="205">
        <v>6239642</v>
      </c>
      <c r="N167" s="204">
        <v>6239642</v>
      </c>
      <c r="O167" s="204">
        <v>2748577.3790684934</v>
      </c>
      <c r="P167" s="204">
        <f t="shared" si="17"/>
        <v>6239642</v>
      </c>
      <c r="Q167" s="204">
        <f t="shared" si="18"/>
        <v>187025.83936366346</v>
      </c>
      <c r="R167" s="204">
        <f t="shared" si="19"/>
        <v>6052616.1606363365</v>
      </c>
      <c r="S167" s="204">
        <f t="shared" si="20"/>
        <v>8801193.5397048295</v>
      </c>
    </row>
    <row r="168" spans="1:19">
      <c r="A168" s="92">
        <v>7</v>
      </c>
      <c r="B168" s="87" t="s">
        <v>301</v>
      </c>
      <c r="C168" s="88" t="s">
        <v>302</v>
      </c>
      <c r="D168" s="197">
        <v>7507188.8640993303</v>
      </c>
      <c r="E168" s="94">
        <v>41008</v>
      </c>
      <c r="F168" s="90">
        <v>42286</v>
      </c>
      <c r="G168" s="89">
        <v>43208</v>
      </c>
      <c r="H168" s="91">
        <v>922</v>
      </c>
      <c r="I168" s="204">
        <v>1517069.1797697716</v>
      </c>
      <c r="J168" s="204">
        <v>9024258.0438691024</v>
      </c>
      <c r="K168" s="207">
        <v>7739161</v>
      </c>
      <c r="L168" s="204">
        <v>1563946.6174246576</v>
      </c>
      <c r="M168" s="205">
        <v>7739161</v>
      </c>
      <c r="N168" s="204">
        <v>7739161</v>
      </c>
      <c r="O168" s="204">
        <v>1916439.9962739723</v>
      </c>
      <c r="P168" s="204">
        <f t="shared" si="17"/>
        <v>7739161</v>
      </c>
      <c r="Q168" s="204">
        <f t="shared" si="18"/>
        <v>231972.13590066973</v>
      </c>
      <c r="R168" s="204">
        <f t="shared" si="19"/>
        <v>7507188.8640993303</v>
      </c>
      <c r="S168" s="204">
        <f t="shared" si="20"/>
        <v>9423628.8603733033</v>
      </c>
    </row>
    <row r="169" spans="1:19">
      <c r="A169" s="92">
        <v>8</v>
      </c>
      <c r="B169" s="87" t="s">
        <v>303</v>
      </c>
      <c r="C169" s="88" t="s">
        <v>304</v>
      </c>
      <c r="D169" s="197">
        <v>8051999.2239790475</v>
      </c>
      <c r="E169" s="94">
        <v>41122</v>
      </c>
      <c r="F169" s="90">
        <v>42401</v>
      </c>
      <c r="G169" s="89">
        <v>43208</v>
      </c>
      <c r="H169" s="91">
        <v>807</v>
      </c>
      <c r="I169" s="204">
        <v>1424211.1504111981</v>
      </c>
      <c r="J169" s="204">
        <v>9476210.3743902463</v>
      </c>
      <c r="K169" s="207">
        <v>8300806</v>
      </c>
      <c r="L169" s="204">
        <v>1468219.2749589041</v>
      </c>
      <c r="M169" s="205">
        <v>6055369</v>
      </c>
      <c r="N169" s="204">
        <v>6055369</v>
      </c>
      <c r="O169" s="204">
        <v>2554319.5736986306</v>
      </c>
      <c r="P169" s="204">
        <f t="shared" si="17"/>
        <v>6055369</v>
      </c>
      <c r="Q169" s="204">
        <f t="shared" si="18"/>
        <v>2426939.4756038412</v>
      </c>
      <c r="R169" s="204">
        <f t="shared" si="19"/>
        <v>5873866.5243961588</v>
      </c>
      <c r="S169" s="204">
        <f t="shared" si="20"/>
        <v>8428186.0980947893</v>
      </c>
    </row>
    <row r="170" spans="1:19">
      <c r="A170" s="92">
        <v>9</v>
      </c>
      <c r="B170" s="87" t="s">
        <v>305</v>
      </c>
      <c r="C170" s="88" t="s">
        <v>306</v>
      </c>
      <c r="D170" s="197">
        <v>6707688.4275875445</v>
      </c>
      <c r="E170" s="94">
        <v>41149</v>
      </c>
      <c r="F170" s="90">
        <v>42428</v>
      </c>
      <c r="G170" s="89">
        <v>43208</v>
      </c>
      <c r="H170" s="91">
        <v>780</v>
      </c>
      <c r="I170" s="204">
        <v>1146739.0626889393</v>
      </c>
      <c r="J170" s="204">
        <v>7854427.4902764838</v>
      </c>
      <c r="K170" s="207">
        <v>6914956</v>
      </c>
      <c r="L170" s="204">
        <v>1182173.2997260273</v>
      </c>
      <c r="M170" s="205">
        <v>6899144</v>
      </c>
      <c r="N170" s="204">
        <v>6899144</v>
      </c>
      <c r="O170" s="204">
        <v>2743963.0316712325</v>
      </c>
      <c r="P170" s="204">
        <f t="shared" si="17"/>
        <v>6899144</v>
      </c>
      <c r="Q170" s="204">
        <f t="shared" si="18"/>
        <v>222605.62653991673</v>
      </c>
      <c r="R170" s="204">
        <f t="shared" si="19"/>
        <v>6692350.3734600833</v>
      </c>
      <c r="S170" s="204">
        <f t="shared" si="20"/>
        <v>9436313.4051313158</v>
      </c>
    </row>
    <row r="171" spans="1:19">
      <c r="A171" s="92">
        <v>10</v>
      </c>
      <c r="B171" s="87" t="s">
        <v>141</v>
      </c>
      <c r="C171" s="88" t="s">
        <v>142</v>
      </c>
      <c r="D171" s="197">
        <v>4793865.5543699674</v>
      </c>
      <c r="E171" s="94">
        <v>41039</v>
      </c>
      <c r="F171" s="90">
        <v>42318</v>
      </c>
      <c r="G171" s="89">
        <v>43208</v>
      </c>
      <c r="H171" s="91">
        <v>890</v>
      </c>
      <c r="I171" s="204">
        <v>935132.13005792233</v>
      </c>
      <c r="J171" s="204">
        <v>5728997.68442789</v>
      </c>
      <c r="K171" s="207">
        <v>4941996</v>
      </c>
      <c r="L171" s="204">
        <v>964027.71287671244</v>
      </c>
      <c r="M171" s="205">
        <v>4941996</v>
      </c>
      <c r="N171" s="204">
        <v>4941996</v>
      </c>
      <c r="O171" s="204">
        <v>2167663.4790136991</v>
      </c>
      <c r="P171" s="204">
        <f t="shared" si="17"/>
        <v>4941996</v>
      </c>
      <c r="Q171" s="204">
        <f t="shared" si="18"/>
        <v>148130.44563003257</v>
      </c>
      <c r="R171" s="204">
        <f t="shared" si="19"/>
        <v>4793865.5543699674</v>
      </c>
      <c r="S171" s="204">
        <f t="shared" si="20"/>
        <v>6961529.0333836665</v>
      </c>
    </row>
    <row r="172" spans="1:19">
      <c r="A172" s="92">
        <v>11</v>
      </c>
      <c r="B172" s="87" t="s">
        <v>516</v>
      </c>
      <c r="C172" s="88" t="s">
        <v>307</v>
      </c>
      <c r="D172" s="197">
        <v>5548987.2926569013</v>
      </c>
      <c r="E172" s="94">
        <v>41019</v>
      </c>
      <c r="F172" s="90">
        <v>42297</v>
      </c>
      <c r="G172" s="89">
        <v>43208</v>
      </c>
      <c r="H172" s="91">
        <v>911</v>
      </c>
      <c r="I172" s="204">
        <v>1107973.1339420136</v>
      </c>
      <c r="J172" s="204">
        <v>6656960.4265989149</v>
      </c>
      <c r="K172" s="207">
        <v>5720451</v>
      </c>
      <c r="L172" s="204">
        <v>1142209.503780822</v>
      </c>
      <c r="M172" s="205">
        <v>5683451</v>
      </c>
      <c r="N172" s="204">
        <v>5683451</v>
      </c>
      <c r="O172" s="204">
        <v>1875452.9711780823</v>
      </c>
      <c r="P172" s="204">
        <f>+K172</f>
        <v>5720451</v>
      </c>
      <c r="Q172" s="204">
        <f t="shared" si="18"/>
        <v>171463.70734309871</v>
      </c>
      <c r="R172" s="204">
        <f t="shared" si="19"/>
        <v>5548987.2926569013</v>
      </c>
      <c r="S172" s="204">
        <f t="shared" si="20"/>
        <v>7424440.2638349831</v>
      </c>
    </row>
    <row r="173" spans="1:19">
      <c r="A173" s="92">
        <v>12</v>
      </c>
      <c r="B173" s="87" t="s">
        <v>517</v>
      </c>
      <c r="C173" s="88" t="s">
        <v>309</v>
      </c>
      <c r="D173" s="197">
        <v>7110564.5552429911</v>
      </c>
      <c r="E173" s="94">
        <v>41091</v>
      </c>
      <c r="F173" s="90">
        <v>42370</v>
      </c>
      <c r="G173" s="89">
        <v>43208</v>
      </c>
      <c r="H173" s="91">
        <v>838</v>
      </c>
      <c r="I173" s="204">
        <v>1306006.1583109316</v>
      </c>
      <c r="J173" s="204">
        <v>8416570.7135539223</v>
      </c>
      <c r="K173" s="207">
        <v>6581946</v>
      </c>
      <c r="L173" s="204">
        <v>1208914.1365479452</v>
      </c>
      <c r="M173" s="205">
        <v>6581946</v>
      </c>
      <c r="N173" s="204">
        <v>6581946</v>
      </c>
      <c r="O173" s="204">
        <v>2870036.764712329</v>
      </c>
      <c r="P173" s="204">
        <f t="shared" si="17"/>
        <v>6581946</v>
      </c>
      <c r="Q173" s="204">
        <f t="shared" si="18"/>
        <v>197285.99417984299</v>
      </c>
      <c r="R173" s="204">
        <f t="shared" si="19"/>
        <v>6384660.005820157</v>
      </c>
      <c r="S173" s="204">
        <f t="shared" si="20"/>
        <v>9254696.7705324851</v>
      </c>
    </row>
    <row r="174" spans="1:19" s="112" customFormat="1">
      <c r="A174" s="92">
        <v>13</v>
      </c>
      <c r="B174" s="87" t="s">
        <v>518</v>
      </c>
      <c r="C174" s="88" t="s">
        <v>308</v>
      </c>
      <c r="D174" s="197">
        <v>7193337.8601222234</v>
      </c>
      <c r="E174" s="94">
        <v>42282</v>
      </c>
      <c r="F174" s="90">
        <v>43560</v>
      </c>
      <c r="G174" s="89">
        <v>43208</v>
      </c>
      <c r="H174" s="91">
        <v>-352</v>
      </c>
      <c r="I174" s="204">
        <v>0</v>
      </c>
      <c r="J174" s="204">
        <v>7193337.8601222234</v>
      </c>
      <c r="K174" s="207">
        <v>4963039</v>
      </c>
      <c r="L174" s="204">
        <v>0</v>
      </c>
      <c r="M174" s="205">
        <v>4963039</v>
      </c>
      <c r="N174" s="204">
        <v>4963039</v>
      </c>
      <c r="O174" s="204">
        <v>2129928.5369863012</v>
      </c>
      <c r="P174" s="204">
        <f t="shared" si="17"/>
        <v>4963039</v>
      </c>
      <c r="Q174" s="204">
        <f t="shared" si="18"/>
        <v>148761.18449898157</v>
      </c>
      <c r="R174" s="204">
        <f t="shared" si="19"/>
        <v>4814277.8155010184</v>
      </c>
      <c r="S174" s="204">
        <f t="shared" si="20"/>
        <v>6944206.3524873201</v>
      </c>
    </row>
    <row r="175" spans="1:19">
      <c r="A175" s="92">
        <v>14</v>
      </c>
      <c r="B175" s="87" t="s">
        <v>312</v>
      </c>
      <c r="C175" s="88" t="s">
        <v>313</v>
      </c>
      <c r="D175" s="197">
        <v>5513033.2718983414</v>
      </c>
      <c r="E175" s="94">
        <v>40997</v>
      </c>
      <c r="F175" s="90">
        <v>42276</v>
      </c>
      <c r="G175" s="89">
        <v>43208</v>
      </c>
      <c r="H175" s="91">
        <v>932</v>
      </c>
      <c r="I175" s="204">
        <v>1126169.2075417545</v>
      </c>
      <c r="J175" s="204">
        <v>6639202.4794400958</v>
      </c>
      <c r="K175" s="207">
        <v>5683386</v>
      </c>
      <c r="L175" s="204">
        <v>1160967.8360547945</v>
      </c>
      <c r="M175" s="205">
        <v>5683386</v>
      </c>
      <c r="N175" s="204">
        <v>5683382</v>
      </c>
      <c r="O175" s="204">
        <v>2633902.7662465754</v>
      </c>
      <c r="P175" s="204">
        <f t="shared" si="17"/>
        <v>5683386</v>
      </c>
      <c r="Q175" s="204">
        <f t="shared" si="18"/>
        <v>170352.72810165863</v>
      </c>
      <c r="R175" s="204">
        <f t="shared" si="19"/>
        <v>5513033.2718983414</v>
      </c>
      <c r="S175" s="204">
        <f t="shared" si="20"/>
        <v>8146936.0381449163</v>
      </c>
    </row>
    <row r="176" spans="1:19">
      <c r="A176" s="92">
        <v>15</v>
      </c>
      <c r="B176" s="87" t="s">
        <v>314</v>
      </c>
      <c r="C176" s="88" t="s">
        <v>315</v>
      </c>
      <c r="D176" s="197">
        <v>6730557.7650596565</v>
      </c>
      <c r="E176" s="94">
        <v>41148</v>
      </c>
      <c r="F176" s="90">
        <v>42427</v>
      </c>
      <c r="G176" s="89">
        <v>43208</v>
      </c>
      <c r="H176" s="91">
        <v>781</v>
      </c>
      <c r="I176" s="204">
        <v>1152123.9703039106</v>
      </c>
      <c r="J176" s="204">
        <v>7882681.7353635672</v>
      </c>
      <c r="K176" s="207">
        <v>6942568</v>
      </c>
      <c r="L176" s="204">
        <v>1188415.4757260273</v>
      </c>
      <c r="M176" s="205">
        <v>6920350</v>
      </c>
      <c r="N176" s="204">
        <v>6938532</v>
      </c>
      <c r="O176" s="204">
        <v>2878792.0753972605</v>
      </c>
      <c r="P176" s="204">
        <f t="shared" si="17"/>
        <v>6920350</v>
      </c>
      <c r="Q176" s="204">
        <f t="shared" si="18"/>
        <v>229647.25113978144</v>
      </c>
      <c r="R176" s="204">
        <f t="shared" si="19"/>
        <v>6712920.7488602186</v>
      </c>
      <c r="S176" s="204">
        <f t="shared" si="20"/>
        <v>9591712.8242574781</v>
      </c>
    </row>
    <row r="177" spans="1:19">
      <c r="A177" s="92">
        <v>16</v>
      </c>
      <c r="B177" s="87" t="s">
        <v>316</v>
      </c>
      <c r="C177" s="88" t="s">
        <v>317</v>
      </c>
      <c r="D177" s="197">
        <v>6025630.0320108645</v>
      </c>
      <c r="E177" s="94">
        <v>41170</v>
      </c>
      <c r="F177" s="90">
        <v>42447</v>
      </c>
      <c r="G177" s="89">
        <v>43208</v>
      </c>
      <c r="H177" s="91">
        <v>761</v>
      </c>
      <c r="I177" s="204">
        <v>1005042.0721885519</v>
      </c>
      <c r="J177" s="204">
        <v>7030672.104199416</v>
      </c>
      <c r="K177" s="207">
        <v>6211822</v>
      </c>
      <c r="L177" s="204">
        <v>1036097.8722191781</v>
      </c>
      <c r="M177" s="205">
        <v>6131075</v>
      </c>
      <c r="N177" s="204">
        <v>6138910</v>
      </c>
      <c r="O177" s="204">
        <v>2687348.7697534249</v>
      </c>
      <c r="P177" s="204">
        <f t="shared" si="17"/>
        <v>6131075</v>
      </c>
      <c r="Q177" s="204">
        <f t="shared" si="18"/>
        <v>264518.67281016614</v>
      </c>
      <c r="R177" s="204">
        <f t="shared" si="19"/>
        <v>5947303.3271898339</v>
      </c>
      <c r="S177" s="204">
        <f t="shared" si="20"/>
        <v>8634652.0969432592</v>
      </c>
    </row>
    <row r="178" spans="1:19">
      <c r="A178" s="92">
        <v>17</v>
      </c>
      <c r="B178" s="87" t="s">
        <v>519</v>
      </c>
      <c r="C178" s="88" t="s">
        <v>322</v>
      </c>
      <c r="D178" s="197">
        <v>6876437.0938015329</v>
      </c>
      <c r="E178" s="94">
        <v>41149</v>
      </c>
      <c r="F178" s="90">
        <v>42428</v>
      </c>
      <c r="G178" s="89">
        <v>43208</v>
      </c>
      <c r="H178" s="91">
        <v>780</v>
      </c>
      <c r="I178" s="204">
        <v>1175588.1497348375</v>
      </c>
      <c r="J178" s="204">
        <v>8052025.2435363699</v>
      </c>
      <c r="K178" s="207">
        <v>7088919</v>
      </c>
      <c r="L178" s="204">
        <v>1211913.8235616439</v>
      </c>
      <c r="M178" s="205">
        <v>7088919</v>
      </c>
      <c r="N178" s="204">
        <v>7088917</v>
      </c>
      <c r="O178" s="204">
        <v>3009909.3439999996</v>
      </c>
      <c r="P178" s="204">
        <f t="shared" si="17"/>
        <v>7088919</v>
      </c>
      <c r="Q178" s="204">
        <f t="shared" si="18"/>
        <v>212481.90619846713</v>
      </c>
      <c r="R178" s="204">
        <f t="shared" si="19"/>
        <v>6876437.0938015329</v>
      </c>
      <c r="S178" s="204">
        <f t="shared" si="20"/>
        <v>9886346.4378015324</v>
      </c>
    </row>
    <row r="179" spans="1:19">
      <c r="A179" s="92">
        <v>18</v>
      </c>
      <c r="B179" s="87" t="s">
        <v>320</v>
      </c>
      <c r="C179" s="88" t="s">
        <v>321</v>
      </c>
      <c r="D179" s="197">
        <v>5537186.9240469495</v>
      </c>
      <c r="E179" s="94">
        <v>41061</v>
      </c>
      <c r="F179" s="90">
        <v>42339</v>
      </c>
      <c r="G179" s="89">
        <v>43208</v>
      </c>
      <c r="H179" s="91">
        <v>869</v>
      </c>
      <c r="I179" s="204">
        <v>1054644.4793417642</v>
      </c>
      <c r="J179" s="204">
        <v>6591831.4033887135</v>
      </c>
      <c r="K179" s="207">
        <v>5708286</v>
      </c>
      <c r="L179" s="204">
        <v>1087232.9937534246</v>
      </c>
      <c r="M179" s="205">
        <v>5708286</v>
      </c>
      <c r="N179" s="204">
        <v>5708284</v>
      </c>
      <c r="O179" s="204">
        <v>2476427.7512328774</v>
      </c>
      <c r="P179" s="204">
        <f t="shared" si="17"/>
        <v>5708286</v>
      </c>
      <c r="Q179" s="204">
        <f t="shared" si="18"/>
        <v>171099.07595305052</v>
      </c>
      <c r="R179" s="204">
        <f t="shared" si="19"/>
        <v>5537186.9240469495</v>
      </c>
      <c r="S179" s="204">
        <f t="shared" si="20"/>
        <v>8013614.6752798269</v>
      </c>
    </row>
    <row r="180" spans="1:19">
      <c r="A180" s="92">
        <v>19</v>
      </c>
      <c r="B180" s="87" t="s">
        <v>318</v>
      </c>
      <c r="C180" s="88" t="s">
        <v>319</v>
      </c>
      <c r="D180" s="197">
        <v>4497283.9266660195</v>
      </c>
      <c r="E180" s="94">
        <v>41029</v>
      </c>
      <c r="F180" s="90">
        <v>42307</v>
      </c>
      <c r="G180" s="89">
        <v>43208</v>
      </c>
      <c r="H180" s="91">
        <v>901</v>
      </c>
      <c r="I180" s="204">
        <v>888121.16557284014</v>
      </c>
      <c r="J180" s="204">
        <v>5385405.0922388593</v>
      </c>
      <c r="K180" s="207">
        <v>4636250</v>
      </c>
      <c r="L180" s="204">
        <v>915564.10958904109</v>
      </c>
      <c r="M180" s="205">
        <v>5236250</v>
      </c>
      <c r="N180" s="204">
        <v>4636250</v>
      </c>
      <c r="O180" s="204">
        <v>2089547.0435068493</v>
      </c>
      <c r="P180" s="204">
        <f>+K180</f>
        <v>4636250</v>
      </c>
      <c r="Q180" s="204">
        <f t="shared" si="18"/>
        <v>138966.07333398052</v>
      </c>
      <c r="R180" s="204">
        <f t="shared" si="19"/>
        <v>4497283.9266660195</v>
      </c>
      <c r="S180" s="204">
        <f t="shared" si="20"/>
        <v>6586830.970172869</v>
      </c>
    </row>
    <row r="181" spans="1:19">
      <c r="A181" s="92">
        <v>20</v>
      </c>
      <c r="B181" s="87" t="s">
        <v>520</v>
      </c>
      <c r="C181" s="88" t="s">
        <v>521</v>
      </c>
      <c r="D181" s="197">
        <v>4871962.3629838005</v>
      </c>
      <c r="E181" s="94">
        <v>41218</v>
      </c>
      <c r="F181" s="90">
        <v>42495</v>
      </c>
      <c r="G181" s="89">
        <v>43208</v>
      </c>
      <c r="H181" s="91">
        <v>713</v>
      </c>
      <c r="I181" s="204">
        <v>761360.91283450939</v>
      </c>
      <c r="J181" s="204">
        <v>5633323.2758183097</v>
      </c>
      <c r="K181" s="207">
        <v>5022506</v>
      </c>
      <c r="L181" s="204">
        <v>784886.96504109597</v>
      </c>
      <c r="M181" s="205">
        <v>5022506</v>
      </c>
      <c r="N181" s="204">
        <v>5022504</v>
      </c>
      <c r="O181" s="204">
        <v>2318421.9230684927</v>
      </c>
      <c r="P181" s="204">
        <f t="shared" si="17"/>
        <v>5022506</v>
      </c>
      <c r="Q181" s="204">
        <f t="shared" si="18"/>
        <v>150543.63701619953</v>
      </c>
      <c r="R181" s="204">
        <f t="shared" si="19"/>
        <v>4871962.3629838005</v>
      </c>
      <c r="S181" s="204">
        <f t="shared" si="20"/>
        <v>7190384.2860522931</v>
      </c>
    </row>
    <row r="182" spans="1:19">
      <c r="A182" s="92">
        <v>21</v>
      </c>
      <c r="B182" s="87" t="s">
        <v>522</v>
      </c>
      <c r="C182" s="88" t="s">
        <v>330</v>
      </c>
      <c r="D182" s="197">
        <v>5513062.3726840625</v>
      </c>
      <c r="E182" s="94">
        <v>41113</v>
      </c>
      <c r="F182" s="90">
        <v>42392</v>
      </c>
      <c r="G182" s="89">
        <v>43208</v>
      </c>
      <c r="H182" s="91">
        <v>816</v>
      </c>
      <c r="I182" s="204">
        <v>986007.42928442638</v>
      </c>
      <c r="J182" s="204">
        <v>6499069.8019684888</v>
      </c>
      <c r="K182" s="207">
        <v>5683416</v>
      </c>
      <c r="L182" s="204">
        <v>1016475.0588493152</v>
      </c>
      <c r="M182" s="205">
        <v>5683417</v>
      </c>
      <c r="N182" s="204">
        <v>5683416</v>
      </c>
      <c r="O182" s="204">
        <v>2602947.022246575</v>
      </c>
      <c r="P182" s="204">
        <f>+K182</f>
        <v>5683416</v>
      </c>
      <c r="Q182" s="204">
        <f t="shared" si="18"/>
        <v>170353.62731593754</v>
      </c>
      <c r="R182" s="204">
        <f t="shared" si="19"/>
        <v>5513062.3726840625</v>
      </c>
      <c r="S182" s="204">
        <f t="shared" si="20"/>
        <v>8116009.3949306374</v>
      </c>
    </row>
    <row r="183" spans="1:19" ht="47.25">
      <c r="A183" s="97">
        <v>22</v>
      </c>
      <c r="B183" s="113" t="s">
        <v>530</v>
      </c>
      <c r="C183" s="88" t="s">
        <v>531</v>
      </c>
      <c r="D183" s="198">
        <v>7216943.4474730818</v>
      </c>
      <c r="E183" s="94">
        <v>41019</v>
      </c>
      <c r="F183" s="95">
        <v>42297</v>
      </c>
      <c r="G183" s="94">
        <v>43208</v>
      </c>
      <c r="H183" s="96">
        <v>911</v>
      </c>
      <c r="I183" s="206">
        <v>1441015.9957584608</v>
      </c>
      <c r="J183" s="206">
        <v>8657959.4432315417</v>
      </c>
      <c r="K183" s="207">
        <v>7439947</v>
      </c>
      <c r="L183" s="206">
        <v>1485543.3900273973</v>
      </c>
      <c r="M183" s="207">
        <v>6647327</v>
      </c>
      <c r="N183" s="206">
        <v>6647326</v>
      </c>
      <c r="O183" s="206">
        <v>5233412.1672328701</v>
      </c>
      <c r="P183" s="204">
        <f t="shared" si="17"/>
        <v>6647327</v>
      </c>
      <c r="Q183" s="204">
        <f t="shared" si="18"/>
        <v>991865.71180521883</v>
      </c>
      <c r="R183" s="204">
        <f t="shared" si="19"/>
        <v>6448081.2881947812</v>
      </c>
      <c r="S183" s="204">
        <f t="shared" si="20"/>
        <v>11681493.45542765</v>
      </c>
    </row>
    <row r="184" spans="1:19" ht="15.75">
      <c r="A184" s="92">
        <v>23</v>
      </c>
      <c r="B184" s="113" t="s">
        <v>323</v>
      </c>
      <c r="C184" s="88" t="s">
        <v>324</v>
      </c>
      <c r="D184" s="198">
        <v>23935396.255698904</v>
      </c>
      <c r="E184" s="94">
        <v>41024</v>
      </c>
      <c r="F184" s="90">
        <v>42302</v>
      </c>
      <c r="G184" s="94">
        <v>43208</v>
      </c>
      <c r="H184" s="91">
        <v>906</v>
      </c>
      <c r="I184" s="204">
        <v>4752979.5085289218</v>
      </c>
      <c r="J184" s="204">
        <v>28688375.764227826</v>
      </c>
      <c r="K184" s="207">
        <v>24675000</v>
      </c>
      <c r="L184" s="204">
        <v>4899846.5753424661</v>
      </c>
      <c r="M184" s="205">
        <v>1100000</v>
      </c>
      <c r="N184" s="204">
        <f>+M184</f>
        <v>1100000</v>
      </c>
      <c r="O184" s="204">
        <v>548536.98630136985</v>
      </c>
      <c r="P184" s="204">
        <v>1100000</v>
      </c>
      <c r="Q184" s="204">
        <v>0</v>
      </c>
      <c r="R184" s="204">
        <f t="shared" si="19"/>
        <v>1067028.809777864</v>
      </c>
      <c r="S184" s="204">
        <f t="shared" si="20"/>
        <v>1615565.7960792338</v>
      </c>
    </row>
    <row r="185" spans="1:19" ht="15.75">
      <c r="A185" s="97">
        <v>24</v>
      </c>
      <c r="B185" s="113" t="s">
        <v>534</v>
      </c>
      <c r="C185" s="88" t="s">
        <v>533</v>
      </c>
      <c r="D185" s="198">
        <v>5652422.1553981956</v>
      </c>
      <c r="E185" s="94">
        <v>41149</v>
      </c>
      <c r="F185" s="90">
        <v>42428</v>
      </c>
      <c r="G185" s="89">
        <v>43208</v>
      </c>
      <c r="H185" s="91">
        <v>780</v>
      </c>
      <c r="I185" s="204">
        <v>966331.89725163684</v>
      </c>
      <c r="J185" s="204">
        <v>6618754.0526498323</v>
      </c>
      <c r="K185" s="207">
        <v>5827082</v>
      </c>
      <c r="L185" s="204">
        <v>996191.55287671241</v>
      </c>
      <c r="M185" s="205">
        <v>5815880</v>
      </c>
      <c r="N185" s="204">
        <v>5815879</v>
      </c>
      <c r="O185" s="204">
        <v>2420921.3784109587</v>
      </c>
      <c r="P185" s="204">
        <f>+K185</f>
        <v>5827082</v>
      </c>
      <c r="Q185" s="204">
        <f t="shared" ref="Q185:Q195" si="21">+K185-R185</f>
        <v>174659.84460180439</v>
      </c>
      <c r="R185" s="204">
        <f t="shared" si="19"/>
        <v>5652422.1553981956</v>
      </c>
      <c r="S185" s="204">
        <f t="shared" ref="S185:S195" si="22">+R185+O185</f>
        <v>8073343.5338091543</v>
      </c>
    </row>
    <row r="186" spans="1:19" ht="15.75">
      <c r="A186" s="92">
        <v>25</v>
      </c>
      <c r="B186" s="113" t="s">
        <v>549</v>
      </c>
      <c r="C186" s="88" t="s">
        <v>548</v>
      </c>
      <c r="D186" s="198">
        <v>6371475.409836065</v>
      </c>
      <c r="E186" s="94">
        <v>40619</v>
      </c>
      <c r="F186" s="90">
        <v>41899</v>
      </c>
      <c r="G186" s="89">
        <v>43208</v>
      </c>
      <c r="H186" s="91">
        <v>1309</v>
      </c>
      <c r="I186" s="204">
        <v>1828002.479227487</v>
      </c>
      <c r="J186" s="204">
        <v>8199477.889063552</v>
      </c>
      <c r="K186" s="207">
        <v>6568354</v>
      </c>
      <c r="L186" s="204">
        <v>2942359.9066301365</v>
      </c>
      <c r="M186" s="205">
        <v>6536017</v>
      </c>
      <c r="N186" s="204">
        <v>6536017</v>
      </c>
      <c r="O186" s="204">
        <v>2942369.8748493148</v>
      </c>
      <c r="P186" s="204">
        <f t="shared" si="17"/>
        <v>6536017</v>
      </c>
      <c r="Q186" s="204">
        <f t="shared" si="21"/>
        <v>228246.32709283195</v>
      </c>
      <c r="R186" s="204">
        <f t="shared" si="19"/>
        <v>6340107.672907168</v>
      </c>
      <c r="S186" s="204">
        <f t="shared" si="22"/>
        <v>9282477.5477564819</v>
      </c>
    </row>
    <row r="187" spans="1:19" ht="15.75">
      <c r="A187" s="97">
        <v>26</v>
      </c>
      <c r="B187" s="113" t="s">
        <v>536</v>
      </c>
      <c r="C187" s="88" t="s">
        <v>537</v>
      </c>
      <c r="D187" s="198">
        <v>4887104.4718207391</v>
      </c>
      <c r="E187" s="94">
        <v>41114</v>
      </c>
      <c r="F187" s="90">
        <v>42393</v>
      </c>
      <c r="G187" s="89">
        <v>43208</v>
      </c>
      <c r="H187" s="91">
        <v>815</v>
      </c>
      <c r="I187" s="204">
        <v>872984.14126770454</v>
      </c>
      <c r="J187" s="204">
        <v>5760088.6130884439</v>
      </c>
      <c r="K187" s="207">
        <v>5038116</v>
      </c>
      <c r="L187" s="204">
        <v>2295448.4030684927</v>
      </c>
      <c r="M187" s="205">
        <v>4861930</v>
      </c>
      <c r="N187" s="204">
        <v>4861930</v>
      </c>
      <c r="O187" s="204">
        <v>2295448.4030684927</v>
      </c>
      <c r="P187" s="204">
        <f t="shared" si="17"/>
        <v>4861930</v>
      </c>
      <c r="Q187" s="204">
        <f t="shared" si="21"/>
        <v>321916.56261519063</v>
      </c>
      <c r="R187" s="204">
        <f t="shared" si="19"/>
        <v>4716199.4373848094</v>
      </c>
      <c r="S187" s="204">
        <f t="shared" si="22"/>
        <v>7011647.8404533025</v>
      </c>
    </row>
    <row r="188" spans="1:19" ht="15.75">
      <c r="A188" s="92">
        <v>27</v>
      </c>
      <c r="B188" s="113" t="s">
        <v>550</v>
      </c>
      <c r="C188" s="88" t="s">
        <v>551</v>
      </c>
      <c r="D188" s="198">
        <v>5487918.3237947421</v>
      </c>
      <c r="E188" s="94">
        <v>40622</v>
      </c>
      <c r="F188" s="90">
        <v>41902</v>
      </c>
      <c r="G188" s="89">
        <v>43208</v>
      </c>
      <c r="H188" s="91">
        <v>1306</v>
      </c>
      <c r="I188" s="204">
        <v>1570897.8259454102</v>
      </c>
      <c r="J188" s="204">
        <v>7058816.1497401521</v>
      </c>
      <c r="K188" s="207">
        <v>5657495</v>
      </c>
      <c r="L188" s="204">
        <v>2025148.8075199998</v>
      </c>
      <c r="M188" s="205">
        <v>5657495</v>
      </c>
      <c r="N188" s="204">
        <v>5657495.0099999998</v>
      </c>
      <c r="O188" s="204">
        <v>2025148.8075199998</v>
      </c>
      <c r="P188" s="204">
        <f t="shared" si="17"/>
        <v>5657495</v>
      </c>
      <c r="Q188" s="204">
        <f t="shared" si="21"/>
        <v>169576.67620525789</v>
      </c>
      <c r="R188" s="204">
        <f t="shared" si="19"/>
        <v>5487918.3237947421</v>
      </c>
      <c r="S188" s="204">
        <f t="shared" si="22"/>
        <v>7513067.1313147414</v>
      </c>
    </row>
    <row r="189" spans="1:19" ht="15.75">
      <c r="A189" s="97">
        <v>28</v>
      </c>
      <c r="B189" s="113" t="s">
        <v>538</v>
      </c>
      <c r="C189" s="88" t="s">
        <v>539</v>
      </c>
      <c r="D189" s="198">
        <v>6274442.7199534383</v>
      </c>
      <c r="E189" s="94">
        <v>40949</v>
      </c>
      <c r="F189" s="90">
        <v>42226</v>
      </c>
      <c r="G189" s="89">
        <v>43208</v>
      </c>
      <c r="H189" s="91">
        <v>982</v>
      </c>
      <c r="I189" s="204">
        <v>1350466.3563823071</v>
      </c>
      <c r="J189" s="204">
        <v>7624909.0763357449</v>
      </c>
      <c r="K189" s="207">
        <v>6468323</v>
      </c>
      <c r="L189" s="204">
        <v>2798248.3335890407</v>
      </c>
      <c r="M189" s="205">
        <v>6467848</v>
      </c>
      <c r="N189" s="204">
        <v>6467848</v>
      </c>
      <c r="O189" s="204">
        <v>2798248.3335890407</v>
      </c>
      <c r="P189" s="204">
        <f t="shared" si="17"/>
        <v>6467848</v>
      </c>
      <c r="Q189" s="204">
        <f t="shared" si="21"/>
        <v>194341.04248714726</v>
      </c>
      <c r="R189" s="204">
        <f t="shared" si="19"/>
        <v>6273981.9575128527</v>
      </c>
      <c r="S189" s="204">
        <f t="shared" si="22"/>
        <v>9072230.2911018934</v>
      </c>
    </row>
    <row r="190" spans="1:19" ht="15.75">
      <c r="A190" s="92">
        <v>29</v>
      </c>
      <c r="B190" s="113" t="s">
        <v>554</v>
      </c>
      <c r="C190" s="88" t="s">
        <v>541</v>
      </c>
      <c r="D190" s="198">
        <v>8345375.8851488987</v>
      </c>
      <c r="E190" s="94">
        <v>40942</v>
      </c>
      <c r="F190" s="90">
        <v>42219</v>
      </c>
      <c r="G190" s="89">
        <v>43208</v>
      </c>
      <c r="H190" s="91">
        <v>989</v>
      </c>
      <c r="I190" s="204">
        <v>1809003.12337803</v>
      </c>
      <c r="J190" s="204">
        <v>10154379.008526929</v>
      </c>
      <c r="K190" s="207">
        <v>8603248</v>
      </c>
      <c r="L190" s="204">
        <v>1864901.3198904109</v>
      </c>
      <c r="M190" s="205">
        <v>8603248</v>
      </c>
      <c r="N190" s="204">
        <v>8603248</v>
      </c>
      <c r="O190" s="204">
        <v>4127018.1646027397</v>
      </c>
      <c r="P190" s="204">
        <v>8603248</v>
      </c>
      <c r="Q190" s="204">
        <f t="shared" si="21"/>
        <v>257872.1148511013</v>
      </c>
      <c r="R190" s="204">
        <f t="shared" si="19"/>
        <v>8345375.8851488987</v>
      </c>
      <c r="S190" s="204">
        <f t="shared" si="22"/>
        <v>12472394.049751639</v>
      </c>
    </row>
    <row r="191" spans="1:19" ht="15.75">
      <c r="A191" s="97">
        <v>30</v>
      </c>
      <c r="B191" s="113" t="s">
        <v>555</v>
      </c>
      <c r="C191" s="88" t="s">
        <v>540</v>
      </c>
      <c r="D191" s="198">
        <f>+K191*100/103.09</f>
        <v>5637441.4395188671</v>
      </c>
      <c r="E191" s="94">
        <v>41016</v>
      </c>
      <c r="F191" s="90">
        <f t="shared" ref="F191:F192" si="23">EDATE(E191,42)</f>
        <v>42294</v>
      </c>
      <c r="G191" s="89">
        <v>43208</v>
      </c>
      <c r="H191" s="91">
        <f t="shared" ref="H191" si="24">G191-F191</f>
        <v>914</v>
      </c>
      <c r="I191" s="204">
        <f t="shared" ref="I191" si="25">D191*8/100/365*H191</f>
        <v>1129341.6933085469</v>
      </c>
      <c r="J191" s="204">
        <f t="shared" ref="J191" si="26">D191+I191</f>
        <v>6766783.1328274142</v>
      </c>
      <c r="K191" s="207">
        <v>5811638.3799999999</v>
      </c>
      <c r="L191" s="206">
        <f t="shared" ref="L191" si="27">+K191*8/100/365*H191</f>
        <v>1164238.3516317806</v>
      </c>
      <c r="M191" s="205">
        <f>+K191</f>
        <v>5811638.3799999999</v>
      </c>
      <c r="N191" s="204">
        <f>+M191</f>
        <v>5811638.3799999999</v>
      </c>
      <c r="O191" s="204">
        <v>3119303.8983802744</v>
      </c>
      <c r="P191" s="204">
        <f>+N191</f>
        <v>5811638.3799999999</v>
      </c>
      <c r="Q191" s="204">
        <f t="shared" si="21"/>
        <v>174196.94048113283</v>
      </c>
      <c r="R191" s="204">
        <f t="shared" si="19"/>
        <v>5637441.4395188671</v>
      </c>
      <c r="S191" s="204">
        <f t="shared" si="22"/>
        <v>8756745.337899141</v>
      </c>
    </row>
    <row r="192" spans="1:19" ht="15.75">
      <c r="A192" s="92">
        <v>31</v>
      </c>
      <c r="B192" s="113" t="s">
        <v>543</v>
      </c>
      <c r="C192" s="88" t="s">
        <v>544</v>
      </c>
      <c r="D192" s="198">
        <v>5514789.0193035211</v>
      </c>
      <c r="E192" s="94">
        <v>41108</v>
      </c>
      <c r="F192" s="90">
        <f t="shared" si="23"/>
        <v>42387</v>
      </c>
      <c r="G192" s="89">
        <v>43208</v>
      </c>
      <c r="H192" s="91">
        <v>2058</v>
      </c>
      <c r="I192" s="204">
        <v>2487547.572981183</v>
      </c>
      <c r="J192" s="204">
        <v>8002336.5922847036</v>
      </c>
      <c r="K192" s="207">
        <v>5685196</v>
      </c>
      <c r="L192" s="206">
        <v>2564412.7929863012</v>
      </c>
      <c r="M192" s="205">
        <v>5664432</v>
      </c>
      <c r="N192" s="204">
        <v>5664432</v>
      </c>
      <c r="O192" s="204">
        <v>2426912.9869589042</v>
      </c>
      <c r="P192" s="204">
        <v>5664432</v>
      </c>
      <c r="Q192" s="204">
        <f t="shared" si="21"/>
        <v>190548.60452032182</v>
      </c>
      <c r="R192" s="204">
        <f t="shared" si="19"/>
        <v>5494647.3954796782</v>
      </c>
      <c r="S192" s="204">
        <f t="shared" si="22"/>
        <v>7921560.3824385824</v>
      </c>
    </row>
    <row r="193" spans="1:19" ht="15.75">
      <c r="A193" s="97">
        <v>32</v>
      </c>
      <c r="B193" s="113" t="s">
        <v>558</v>
      </c>
      <c r="C193" s="88" t="s">
        <v>117</v>
      </c>
      <c r="D193" s="198">
        <f t="shared" ref="D193:D195" si="28">+K193*100/103.09</f>
        <v>5309622.6598118143</v>
      </c>
      <c r="E193" s="94">
        <v>42134</v>
      </c>
      <c r="F193" s="90">
        <f>EDATE(E193,42)</f>
        <v>43414</v>
      </c>
      <c r="G193" s="89">
        <v>43208</v>
      </c>
      <c r="H193" s="91">
        <f t="shared" ref="H193:H195" si="29">G193-F193</f>
        <v>-206</v>
      </c>
      <c r="I193" s="204">
        <f t="shared" ref="I193:I195" si="30">D193*8/100/365*H193</f>
        <v>-239733.09981835258</v>
      </c>
      <c r="J193" s="204">
        <f t="shared" ref="J193:J195" si="31">D193+I193</f>
        <v>5069889.5599934617</v>
      </c>
      <c r="K193" s="207">
        <v>5473690</v>
      </c>
      <c r="L193" s="206">
        <f t="shared" ref="L193:L195" si="32">+K193*8/100/365*H193</f>
        <v>-247140.85260273973</v>
      </c>
      <c r="M193" s="205">
        <v>5333802.8599999994</v>
      </c>
      <c r="N193" s="204">
        <f>+M193</f>
        <v>5333802.8599999994</v>
      </c>
      <c r="O193" s="204">
        <v>2322460.9387769867</v>
      </c>
      <c r="P193" s="204">
        <f>+M193</f>
        <v>5333802.8599999994</v>
      </c>
      <c r="Q193" s="204">
        <f t="shared" si="21"/>
        <v>299761.52973130345</v>
      </c>
      <c r="R193" s="204">
        <f t="shared" si="19"/>
        <v>5173928.4702686965</v>
      </c>
      <c r="S193" s="204">
        <f t="shared" si="22"/>
        <v>7496389.4090456832</v>
      </c>
    </row>
    <row r="194" spans="1:19" ht="15.75">
      <c r="A194" s="92">
        <v>33</v>
      </c>
      <c r="B194" s="113" t="s">
        <v>561</v>
      </c>
      <c r="C194" s="88" t="s">
        <v>542</v>
      </c>
      <c r="D194" s="198">
        <f t="shared" si="28"/>
        <v>5681191.1921621878</v>
      </c>
      <c r="E194" s="94">
        <v>41365</v>
      </c>
      <c r="F194" s="90">
        <f>EDATE(E194,42)</f>
        <v>42644</v>
      </c>
      <c r="G194" s="89">
        <v>43208</v>
      </c>
      <c r="H194" s="91">
        <f t="shared" si="29"/>
        <v>564</v>
      </c>
      <c r="I194" s="204">
        <f t="shared" si="30"/>
        <v>702288.62079550105</v>
      </c>
      <c r="J194" s="204">
        <f t="shared" si="31"/>
        <v>6383479.8129576892</v>
      </c>
      <c r="K194" s="207">
        <v>5856740</v>
      </c>
      <c r="L194" s="206">
        <f t="shared" si="32"/>
        <v>723989.33917808218</v>
      </c>
      <c r="M194" s="205">
        <f>+K194</f>
        <v>5856740</v>
      </c>
      <c r="N194" s="204">
        <f>+M194</f>
        <v>5856740</v>
      </c>
      <c r="O194" s="204">
        <v>2726687.3567123287</v>
      </c>
      <c r="P194" s="204">
        <f>+N194</f>
        <v>5856740</v>
      </c>
      <c r="Q194" s="204">
        <f t="shared" si="21"/>
        <v>175548.80783781223</v>
      </c>
      <c r="R194" s="204">
        <f t="shared" si="19"/>
        <v>5681191.1921621878</v>
      </c>
      <c r="S194" s="204">
        <f t="shared" si="22"/>
        <v>8407878.548874516</v>
      </c>
    </row>
    <row r="195" spans="1:19" ht="15.75">
      <c r="A195" s="97">
        <v>34</v>
      </c>
      <c r="B195" s="113" t="s">
        <v>575</v>
      </c>
      <c r="C195" s="88" t="s">
        <v>545</v>
      </c>
      <c r="D195" s="198">
        <f t="shared" si="28"/>
        <v>5411416.2382384324</v>
      </c>
      <c r="E195" s="94">
        <v>41141</v>
      </c>
      <c r="F195" s="90">
        <f>EDATE(E195,42)</f>
        <v>42420</v>
      </c>
      <c r="G195" s="89">
        <v>43208</v>
      </c>
      <c r="H195" s="91">
        <f t="shared" si="29"/>
        <v>788</v>
      </c>
      <c r="I195" s="204">
        <f t="shared" si="30"/>
        <v>934618.30043438566</v>
      </c>
      <c r="J195" s="204">
        <f t="shared" si="31"/>
        <v>6346034.5386728179</v>
      </c>
      <c r="K195" s="207">
        <v>5578629</v>
      </c>
      <c r="L195" s="206">
        <f t="shared" si="32"/>
        <v>963498.00591780816</v>
      </c>
      <c r="M195" s="205">
        <v>5166446</v>
      </c>
      <c r="N195" s="204">
        <f>3677079+1900000</f>
        <v>5577079</v>
      </c>
      <c r="O195" s="204">
        <v>2200454.7226301371</v>
      </c>
      <c r="P195" s="204">
        <f>+M195</f>
        <v>5166446</v>
      </c>
      <c r="Q195" s="204">
        <f t="shared" si="21"/>
        <v>567041.06712581217</v>
      </c>
      <c r="R195" s="204">
        <f t="shared" si="19"/>
        <v>5011587.9328741878</v>
      </c>
      <c r="S195" s="204">
        <f t="shared" si="22"/>
        <v>7212042.6555043254</v>
      </c>
    </row>
    <row r="196" spans="1:19" ht="15.75">
      <c r="A196" s="97">
        <v>35</v>
      </c>
      <c r="B196" s="113" t="s">
        <v>611</v>
      </c>
      <c r="C196" s="88" t="s">
        <v>612</v>
      </c>
      <c r="D196" s="198">
        <v>5639016.3934426224</v>
      </c>
      <c r="E196" s="94">
        <v>41198</v>
      </c>
      <c r="F196" s="90">
        <v>42476</v>
      </c>
      <c r="G196" s="89">
        <v>43208</v>
      </c>
      <c r="H196" s="91">
        <v>732</v>
      </c>
      <c r="I196" s="204">
        <v>904714.52054794517</v>
      </c>
      <c r="J196" s="204">
        <v>6543730.9139905674</v>
      </c>
      <c r="K196" s="207">
        <v>5813262</v>
      </c>
      <c r="L196" s="206">
        <v>932670.19923287665</v>
      </c>
      <c r="M196" s="205">
        <v>5813262</v>
      </c>
      <c r="N196" s="204">
        <v>5813262</v>
      </c>
      <c r="O196" s="204">
        <v>2368413.38</v>
      </c>
      <c r="P196" s="204">
        <v>5813262</v>
      </c>
      <c r="Q196" s="77">
        <v>0</v>
      </c>
      <c r="R196" s="204">
        <f>+P196*100/103.09</f>
        <v>5639016.3934426224</v>
      </c>
      <c r="S196" s="204">
        <f>+R196+O196</f>
        <v>8007429.7734426223</v>
      </c>
    </row>
    <row r="197" spans="1:19">
      <c r="A197" s="92"/>
      <c r="B197" s="87" t="s">
        <v>523</v>
      </c>
      <c r="C197" s="88"/>
      <c r="D197" s="199">
        <f>SUM(D162:D196)</f>
        <v>223284865.04995638</v>
      </c>
      <c r="E197" s="91"/>
      <c r="F197" s="90"/>
      <c r="G197" s="91"/>
      <c r="H197" s="91"/>
      <c r="I197" s="199">
        <f>SUM(I162:I196)</f>
        <v>42184993.744222976</v>
      </c>
      <c r="J197" s="199">
        <f t="shared" ref="J197:R197" si="33">SUM(J162:J196)</f>
        <v>265469858.79417926</v>
      </c>
      <c r="K197" s="199">
        <f t="shared" si="33"/>
        <v>226989157.38</v>
      </c>
      <c r="L197" s="199">
        <f t="shared" si="33"/>
        <v>47617207.354001097</v>
      </c>
      <c r="M197" s="199">
        <f t="shared" si="33"/>
        <v>200102686.24000001</v>
      </c>
      <c r="N197" s="199">
        <f t="shared" si="33"/>
        <v>199746386.25</v>
      </c>
      <c r="O197" s="199">
        <f t="shared" si="33"/>
        <v>87810506.865553975</v>
      </c>
      <c r="P197" s="199">
        <f t="shared" si="33"/>
        <v>199550887.24000001</v>
      </c>
      <c r="Q197" s="199">
        <f t="shared" si="33"/>
        <v>9637353.5815714467</v>
      </c>
      <c r="R197" s="199">
        <f t="shared" si="33"/>
        <v>193569587.00164908</v>
      </c>
      <c r="S197" s="199">
        <f>SUM(S162:S196)</f>
        <v>281380093.86720306</v>
      </c>
    </row>
    <row r="198" spans="1:19">
      <c r="A198" s="92"/>
      <c r="B198" s="87" t="s">
        <v>524</v>
      </c>
      <c r="C198" s="88"/>
      <c r="D198" s="199">
        <f>+D160+D197</f>
        <v>1142506193.0352123</v>
      </c>
      <c r="E198" s="91"/>
      <c r="F198" s="90"/>
      <c r="G198" s="91"/>
      <c r="H198" s="91"/>
      <c r="I198" s="199">
        <f>+I160+I197</f>
        <v>207671808.27699915</v>
      </c>
      <c r="J198" s="199">
        <f>+J160+J197</f>
        <v>1350178001.3122103</v>
      </c>
      <c r="K198" s="199">
        <f>K160+K197</f>
        <v>1214457822.0799999</v>
      </c>
      <c r="L198" s="199">
        <f>+L160+L197</f>
        <v>236253126.00258851</v>
      </c>
      <c r="M198" s="199">
        <f>+M160+M197</f>
        <v>1164130594.24</v>
      </c>
      <c r="N198" s="199">
        <f t="shared" ref="N198:S198" si="34">+N160+N197</f>
        <v>1156854452.8600001</v>
      </c>
      <c r="O198" s="199">
        <f t="shared" si="34"/>
        <v>495622280.6538409</v>
      </c>
      <c r="P198" s="199">
        <f t="shared" si="34"/>
        <v>1153932971.25</v>
      </c>
      <c r="Q198" s="199">
        <f t="shared" si="34"/>
        <v>71330400.850200847</v>
      </c>
      <c r="R198" s="199">
        <f t="shared" si="34"/>
        <v>1119345204.4330201</v>
      </c>
      <c r="S198" s="199">
        <f t="shared" si="34"/>
        <v>1614967485.0868611</v>
      </c>
    </row>
    <row r="199" spans="1:19">
      <c r="A199" s="92"/>
      <c r="B199" s="87"/>
      <c r="C199" s="88"/>
      <c r="D199" s="199"/>
      <c r="E199" s="91"/>
      <c r="F199" s="90"/>
      <c r="G199" s="91"/>
      <c r="H199" s="91"/>
      <c r="I199" s="199"/>
      <c r="J199" s="199"/>
      <c r="K199" s="204">
        <v>1398557105.3076565</v>
      </c>
      <c r="L199" s="204"/>
      <c r="M199" s="205"/>
      <c r="N199" s="204"/>
      <c r="O199" s="204"/>
      <c r="P199" s="204"/>
      <c r="Q199" s="204"/>
      <c r="R199" s="204"/>
      <c r="S199" s="204"/>
    </row>
    <row r="200" spans="1:19">
      <c r="A200" s="92"/>
      <c r="B200" s="87" t="s">
        <v>525</v>
      </c>
      <c r="C200" s="88"/>
      <c r="D200" s="199"/>
      <c r="E200" s="91"/>
      <c r="F200" s="90"/>
      <c r="G200" s="91"/>
      <c r="H200" s="91"/>
      <c r="I200" s="199"/>
      <c r="J200" s="199"/>
      <c r="K200" s="204"/>
      <c r="L200" s="204"/>
      <c r="M200" s="205"/>
      <c r="N200" s="204"/>
      <c r="O200" s="204"/>
      <c r="P200" s="204"/>
      <c r="Q200" s="204"/>
      <c r="R200" s="204"/>
      <c r="S200" s="204"/>
    </row>
    <row r="201" spans="1:19">
      <c r="A201" s="92"/>
      <c r="B201" s="87"/>
      <c r="C201" s="88"/>
      <c r="D201" s="199"/>
      <c r="E201" s="91"/>
      <c r="F201" s="90"/>
      <c r="G201" s="91"/>
      <c r="H201" s="91"/>
      <c r="I201" s="199"/>
      <c r="J201" s="199"/>
      <c r="K201" s="204"/>
      <c r="L201" s="204"/>
      <c r="M201" s="205"/>
      <c r="N201" s="204"/>
      <c r="O201" s="204"/>
      <c r="P201" s="204"/>
      <c r="Q201" s="204"/>
      <c r="R201" s="204"/>
      <c r="S201" s="204"/>
    </row>
    <row r="202" spans="1:19">
      <c r="A202" s="92">
        <v>1</v>
      </c>
      <c r="B202" s="87" t="s">
        <v>14</v>
      </c>
      <c r="C202" s="88" t="s">
        <v>16</v>
      </c>
      <c r="D202" s="193">
        <v>4245131.4385488406</v>
      </c>
      <c r="E202" s="89">
        <v>41382</v>
      </c>
      <c r="F202" s="90">
        <v>42661</v>
      </c>
      <c r="G202" s="89">
        <v>43208</v>
      </c>
      <c r="H202" s="91">
        <v>547</v>
      </c>
      <c r="I202" s="204">
        <v>508950.55274218426</v>
      </c>
      <c r="J202" s="204">
        <v>4754081.9912910247</v>
      </c>
      <c r="K202" s="204">
        <v>4395084</v>
      </c>
      <c r="L202" s="204">
        <v>526928.42695890414</v>
      </c>
      <c r="M202" s="205">
        <v>4376306</v>
      </c>
      <c r="N202" s="204">
        <v>4376305</v>
      </c>
      <c r="O202" s="204">
        <v>1947822.0729863015</v>
      </c>
      <c r="P202" s="204">
        <f t="shared" ref="P202:P208" si="35">+M202</f>
        <v>4376306</v>
      </c>
      <c r="Q202" s="204">
        <f t="shared" ref="Q202:Q209" si="36">+K202-R202</f>
        <v>149952.56145115942</v>
      </c>
      <c r="R202" s="204">
        <f t="shared" ref="R202:R209" si="37">+P202*100/103.09</f>
        <v>4245131.4385488406</v>
      </c>
      <c r="S202" s="204">
        <f t="shared" ref="S202:S209" si="38">+R202+O202</f>
        <v>6192953.5115351416</v>
      </c>
    </row>
    <row r="203" spans="1:19">
      <c r="A203" s="92">
        <v>2</v>
      </c>
      <c r="B203" s="87" t="s">
        <v>17</v>
      </c>
      <c r="C203" s="88" t="s">
        <v>19</v>
      </c>
      <c r="D203" s="193">
        <v>6045979.2414395185</v>
      </c>
      <c r="E203" s="89">
        <v>41442</v>
      </c>
      <c r="F203" s="90">
        <v>42721</v>
      </c>
      <c r="G203" s="89">
        <v>43208</v>
      </c>
      <c r="H203" s="91">
        <v>487</v>
      </c>
      <c r="I203" s="204">
        <v>645346.16779858526</v>
      </c>
      <c r="J203" s="204">
        <v>6691325.4092381038</v>
      </c>
      <c r="K203" s="204">
        <v>6232800</v>
      </c>
      <c r="L203" s="204">
        <v>665287.36438356165</v>
      </c>
      <c r="M203" s="205">
        <v>6232800</v>
      </c>
      <c r="N203" s="204">
        <v>6232800</v>
      </c>
      <c r="O203" s="204">
        <v>6035399.5397260273</v>
      </c>
      <c r="P203" s="204">
        <f t="shared" si="35"/>
        <v>6232800</v>
      </c>
      <c r="Q203" s="204">
        <f t="shared" si="36"/>
        <v>186820.75856048148</v>
      </c>
      <c r="R203" s="204">
        <f t="shared" si="37"/>
        <v>6045979.2414395185</v>
      </c>
      <c r="S203" s="204">
        <f t="shared" si="38"/>
        <v>12081378.781165546</v>
      </c>
    </row>
    <row r="204" spans="1:19">
      <c r="A204" s="92">
        <v>3</v>
      </c>
      <c r="B204" s="87" t="s">
        <v>17</v>
      </c>
      <c r="C204" s="88" t="s">
        <v>18</v>
      </c>
      <c r="D204" s="193">
        <v>6046076.2440585895</v>
      </c>
      <c r="E204" s="89">
        <v>41442</v>
      </c>
      <c r="F204" s="90">
        <v>42721</v>
      </c>
      <c r="G204" s="89">
        <v>43208</v>
      </c>
      <c r="H204" s="91">
        <v>487</v>
      </c>
      <c r="I204" s="204">
        <v>645356.52183156891</v>
      </c>
      <c r="J204" s="204" t="s">
        <v>560</v>
      </c>
      <c r="K204" s="204">
        <v>6232800</v>
      </c>
      <c r="L204" s="204">
        <v>665287.36438356165</v>
      </c>
      <c r="M204" s="205">
        <v>6232800</v>
      </c>
      <c r="N204" s="204">
        <v>6232800</v>
      </c>
      <c r="O204" s="204">
        <v>6035399.5397260273</v>
      </c>
      <c r="P204" s="204">
        <f t="shared" si="35"/>
        <v>6232800</v>
      </c>
      <c r="Q204" s="204">
        <f t="shared" si="36"/>
        <v>186820.75856048148</v>
      </c>
      <c r="R204" s="204">
        <f t="shared" si="37"/>
        <v>6045979.2414395185</v>
      </c>
      <c r="S204" s="204">
        <f t="shared" si="38"/>
        <v>12081378.781165546</v>
      </c>
    </row>
    <row r="205" spans="1:19" ht="27.75" customHeight="1">
      <c r="A205" s="92">
        <v>4</v>
      </c>
      <c r="B205" s="87" t="s">
        <v>526</v>
      </c>
      <c r="C205" s="88" t="s">
        <v>7</v>
      </c>
      <c r="D205" s="193">
        <v>4323655.0586865842</v>
      </c>
      <c r="E205" s="89">
        <v>41382</v>
      </c>
      <c r="F205" s="90">
        <v>42661</v>
      </c>
      <c r="G205" s="89">
        <v>43208</v>
      </c>
      <c r="H205" s="91">
        <v>547</v>
      </c>
      <c r="I205" s="204">
        <v>518364.78183047927</v>
      </c>
      <c r="J205" s="204">
        <v>4842019.8405170636</v>
      </c>
      <c r="K205" s="204">
        <v>4457255.76</v>
      </c>
      <c r="L205" s="204">
        <v>534382.22481534246</v>
      </c>
      <c r="M205" s="205">
        <v>4457256</v>
      </c>
      <c r="N205" s="204">
        <v>4457254</v>
      </c>
      <c r="O205" s="204">
        <v>2010018.14619178</v>
      </c>
      <c r="P205" s="204">
        <f t="shared" si="35"/>
        <v>4457256</v>
      </c>
      <c r="Q205" s="204">
        <f t="shared" si="36"/>
        <v>133600.70131341554</v>
      </c>
      <c r="R205" s="204">
        <f t="shared" si="37"/>
        <v>4323655.0586865842</v>
      </c>
      <c r="S205" s="204">
        <f t="shared" si="38"/>
        <v>6333673.2048783638</v>
      </c>
    </row>
    <row r="206" spans="1:19">
      <c r="A206" s="92">
        <v>5</v>
      </c>
      <c r="B206" s="87" t="s">
        <v>87</v>
      </c>
      <c r="C206" s="88" t="s">
        <v>88</v>
      </c>
      <c r="D206" s="193">
        <v>4508702.1049568336</v>
      </c>
      <c r="E206" s="89">
        <v>41303</v>
      </c>
      <c r="F206" s="90">
        <v>42580</v>
      </c>
      <c r="G206" s="89">
        <v>43208</v>
      </c>
      <c r="H206" s="91">
        <v>628</v>
      </c>
      <c r="I206" s="204">
        <v>620595.05137816793</v>
      </c>
      <c r="J206" s="204">
        <v>5129297.1563350018</v>
      </c>
      <c r="K206" s="204">
        <v>4648021</v>
      </c>
      <c r="L206" s="204">
        <v>639771.43846575345</v>
      </c>
      <c r="M206" s="205">
        <v>7248021</v>
      </c>
      <c r="N206" s="204">
        <v>7248021</v>
      </c>
      <c r="O206" s="204">
        <v>3416044.1575890416</v>
      </c>
      <c r="P206" s="204">
        <f>+K206</f>
        <v>4648021</v>
      </c>
      <c r="Q206" s="204">
        <f t="shared" si="36"/>
        <v>139318.89504316635</v>
      </c>
      <c r="R206" s="204">
        <f>+P206*100/103.09</f>
        <v>4508702.1049568336</v>
      </c>
      <c r="S206" s="204">
        <f t="shared" si="38"/>
        <v>7924746.2625458753</v>
      </c>
    </row>
    <row r="207" spans="1:19">
      <c r="A207" s="92">
        <v>6</v>
      </c>
      <c r="B207" s="87" t="s">
        <v>527</v>
      </c>
      <c r="C207" s="88" t="s">
        <v>115</v>
      </c>
      <c r="D207" s="193">
        <v>5479881.6568047339</v>
      </c>
      <c r="E207" s="89">
        <v>41261</v>
      </c>
      <c r="F207" s="90">
        <v>42539</v>
      </c>
      <c r="G207" s="89">
        <v>43208</v>
      </c>
      <c r="H207" s="91">
        <v>669</v>
      </c>
      <c r="I207" s="204">
        <v>803515.79800599813</v>
      </c>
      <c r="J207" s="204">
        <v>6283397.454810732</v>
      </c>
      <c r="K207" s="204">
        <v>5649210</v>
      </c>
      <c r="L207" s="204">
        <v>908287.48010958906</v>
      </c>
      <c r="M207" s="205">
        <v>5649210</v>
      </c>
      <c r="N207" s="204">
        <v>5649210</v>
      </c>
      <c r="O207" s="204">
        <v>2380251.9197808215</v>
      </c>
      <c r="P207" s="204">
        <f>+M207</f>
        <v>5649210</v>
      </c>
      <c r="Q207" s="204">
        <f t="shared" si="36"/>
        <v>169328.34319526609</v>
      </c>
      <c r="R207" s="204">
        <f t="shared" si="37"/>
        <v>5479881.6568047339</v>
      </c>
      <c r="S207" s="204">
        <f t="shared" si="38"/>
        <v>7860133.5765855554</v>
      </c>
    </row>
    <row r="208" spans="1:19">
      <c r="A208" s="92">
        <v>7</v>
      </c>
      <c r="B208" s="87" t="s">
        <v>527</v>
      </c>
      <c r="C208" s="88" t="s">
        <v>63</v>
      </c>
      <c r="D208" s="193">
        <v>3749304.4912212631</v>
      </c>
      <c r="E208" s="89">
        <v>41261</v>
      </c>
      <c r="F208" s="90">
        <v>42539</v>
      </c>
      <c r="G208" s="89">
        <v>43208</v>
      </c>
      <c r="H208" s="91">
        <v>669</v>
      </c>
      <c r="I208" s="204">
        <v>549761.0311511287</v>
      </c>
      <c r="J208" s="204">
        <v>4299065.522372392</v>
      </c>
      <c r="K208" s="204">
        <v>3865158</v>
      </c>
      <c r="L208" s="204">
        <v>566748.64701369859</v>
      </c>
      <c r="M208" s="205">
        <v>3865153</v>
      </c>
      <c r="N208" s="204">
        <v>3865158</v>
      </c>
      <c r="O208" s="204">
        <v>1605281.8283835617</v>
      </c>
      <c r="P208" s="204">
        <f t="shared" si="35"/>
        <v>3865153</v>
      </c>
      <c r="Q208" s="204">
        <f t="shared" si="36"/>
        <v>115858.35890969075</v>
      </c>
      <c r="R208" s="204">
        <f t="shared" si="37"/>
        <v>3749299.6410903092</v>
      </c>
      <c r="S208" s="204">
        <f t="shared" si="38"/>
        <v>5354581.4694738705</v>
      </c>
    </row>
    <row r="209" spans="1:19">
      <c r="A209" s="92">
        <v>8</v>
      </c>
      <c r="B209" s="87" t="s">
        <v>74</v>
      </c>
      <c r="C209" s="88" t="s">
        <v>75</v>
      </c>
      <c r="D209" s="193">
        <v>5014740.5179939857</v>
      </c>
      <c r="E209" s="89">
        <v>40596</v>
      </c>
      <c r="F209" s="90">
        <v>41873</v>
      </c>
      <c r="G209" s="89">
        <v>43208</v>
      </c>
      <c r="H209" s="91">
        <v>1335</v>
      </c>
      <c r="I209" s="204">
        <v>1467326.8145801581</v>
      </c>
      <c r="J209" s="204">
        <v>6482067.332574144</v>
      </c>
      <c r="K209" s="204">
        <v>5000000</v>
      </c>
      <c r="L209" s="204">
        <v>1463013.6986301369</v>
      </c>
      <c r="M209" s="205">
        <v>5169696</v>
      </c>
      <c r="N209" s="204">
        <v>5169696</v>
      </c>
      <c r="O209" s="204">
        <v>2958465.3676712327</v>
      </c>
      <c r="P209" s="204">
        <f>+K209</f>
        <v>5000000</v>
      </c>
      <c r="Q209" s="204">
        <f t="shared" si="36"/>
        <v>149869.04646425508</v>
      </c>
      <c r="R209" s="204">
        <f t="shared" si="37"/>
        <v>4850130.9535357449</v>
      </c>
      <c r="S209" s="204">
        <f t="shared" si="38"/>
        <v>7808596.3212069776</v>
      </c>
    </row>
    <row r="210" spans="1:19">
      <c r="A210" s="92"/>
      <c r="B210" s="87"/>
      <c r="C210" s="88"/>
      <c r="D210" s="200">
        <f>SUM(D202:D209)</f>
        <v>39413470.753710352</v>
      </c>
      <c r="E210" s="91"/>
      <c r="F210" s="90"/>
      <c r="G210" s="91"/>
      <c r="H210" s="91"/>
      <c r="I210" s="200">
        <f t="shared" ref="I210:S210" si="39">SUM(I202:I209)</f>
        <v>5759216.7193182707</v>
      </c>
      <c r="J210" s="200">
        <f t="shared" si="39"/>
        <v>38481254.707138464</v>
      </c>
      <c r="K210" s="200">
        <f t="shared" si="39"/>
        <v>40480328.759999998</v>
      </c>
      <c r="L210" s="200">
        <f t="shared" si="39"/>
        <v>5969706.6447605472</v>
      </c>
      <c r="M210" s="200">
        <f t="shared" si="39"/>
        <v>43231242</v>
      </c>
      <c r="N210" s="200">
        <f t="shared" si="39"/>
        <v>43231244</v>
      </c>
      <c r="O210" s="200">
        <f t="shared" si="39"/>
        <v>26388682.572054792</v>
      </c>
      <c r="P210" s="200">
        <f t="shared" si="39"/>
        <v>40461546</v>
      </c>
      <c r="Q210" s="200">
        <f t="shared" si="39"/>
        <v>1231569.4234979162</v>
      </c>
      <c r="R210" s="200">
        <f t="shared" si="39"/>
        <v>39248759.336502083</v>
      </c>
      <c r="S210" s="200">
        <f t="shared" si="39"/>
        <v>65637441.908556871</v>
      </c>
    </row>
    <row r="211" spans="1:19">
      <c r="A211" s="92"/>
      <c r="B211" s="87"/>
      <c r="C211" s="88"/>
      <c r="D211" s="199"/>
      <c r="E211" s="91"/>
      <c r="F211" s="90"/>
      <c r="G211" s="91"/>
      <c r="H211" s="91"/>
      <c r="I211" s="199"/>
      <c r="J211" s="199"/>
      <c r="K211" s="204"/>
      <c r="L211" s="204"/>
      <c r="M211" s="205"/>
      <c r="N211" s="204"/>
      <c r="O211" s="204"/>
      <c r="P211" s="204"/>
      <c r="Q211" s="204"/>
      <c r="R211" s="204"/>
      <c r="S211" s="204"/>
    </row>
    <row r="212" spans="1:19">
      <c r="A212" s="92"/>
      <c r="B212" s="87"/>
      <c r="C212" s="88"/>
      <c r="D212" s="199"/>
      <c r="E212" s="91"/>
      <c r="F212" s="90"/>
      <c r="G212" s="91"/>
      <c r="H212" s="91"/>
      <c r="I212" s="199"/>
      <c r="J212" s="199"/>
      <c r="K212" s="204"/>
      <c r="L212" s="204"/>
      <c r="M212" s="205"/>
      <c r="N212" s="204"/>
      <c r="O212" s="204"/>
      <c r="P212" s="204"/>
      <c r="Q212" s="204"/>
      <c r="R212" s="204"/>
      <c r="S212" s="204"/>
    </row>
    <row r="213" spans="1:19">
      <c r="A213" s="92"/>
      <c r="B213" s="92"/>
      <c r="C213" s="88"/>
      <c r="D213" s="197"/>
      <c r="E213" s="91"/>
      <c r="F213" s="90"/>
      <c r="G213" s="91"/>
      <c r="H213" s="91" t="s">
        <v>528</v>
      </c>
      <c r="I213" s="204">
        <f>+I210+I198</f>
        <v>213431024.99631742</v>
      </c>
      <c r="J213" s="204">
        <f>+J210+J198</f>
        <v>1388659256.0193489</v>
      </c>
      <c r="K213" s="204">
        <f>+K210+K198</f>
        <v>1254938150.8399999</v>
      </c>
      <c r="L213" s="204">
        <f>+L210+L198</f>
        <v>242222832.64734906</v>
      </c>
      <c r="M213" s="205"/>
      <c r="N213" s="204"/>
      <c r="O213" s="204"/>
      <c r="P213" s="204"/>
      <c r="Q213" s="204"/>
      <c r="R213" s="204"/>
      <c r="S213" s="204"/>
    </row>
    <row r="214" spans="1:19">
      <c r="A214" s="92"/>
      <c r="B214" s="92"/>
      <c r="C214" s="88"/>
      <c r="D214" s="197"/>
      <c r="E214" s="91"/>
      <c r="F214" s="90"/>
      <c r="G214" s="91"/>
      <c r="H214" s="91" t="s">
        <v>529</v>
      </c>
      <c r="I214" s="204">
        <f>+I213/10000000</f>
        <v>21.34310249963174</v>
      </c>
      <c r="J214" s="204">
        <f t="shared" ref="J214:L214" si="40">+J213/10000000</f>
        <v>138.86592560193489</v>
      </c>
      <c r="K214" s="204">
        <f t="shared" si="40"/>
        <v>125.49381508399999</v>
      </c>
      <c r="L214" s="204">
        <f t="shared" si="40"/>
        <v>24.222283264734905</v>
      </c>
      <c r="M214" s="205"/>
      <c r="N214" s="204"/>
      <c r="O214" s="204"/>
      <c r="P214" s="204"/>
      <c r="Q214" s="204"/>
      <c r="R214" s="204"/>
      <c r="S214" s="204"/>
    </row>
    <row r="215" spans="1:19">
      <c r="C215" s="114"/>
    </row>
    <row r="216" spans="1:19">
      <c r="C216" s="114"/>
    </row>
    <row r="217" spans="1:19">
      <c r="C217" s="114"/>
    </row>
    <row r="218" spans="1:19">
      <c r="C218" s="114"/>
    </row>
    <row r="219" spans="1:19">
      <c r="C219" s="114"/>
    </row>
    <row r="220" spans="1:19">
      <c r="B220" s="77">
        <f>157+33+8+2</f>
        <v>200</v>
      </c>
      <c r="C220" s="114"/>
    </row>
    <row r="221" spans="1:19">
      <c r="C221" s="114"/>
    </row>
    <row r="222" spans="1:19">
      <c r="C222" s="114"/>
    </row>
    <row r="223" spans="1:19">
      <c r="C223" s="114"/>
    </row>
    <row r="224" spans="1:19">
      <c r="C224" s="114"/>
    </row>
    <row r="225" spans="3:3">
      <c r="C225" s="115"/>
    </row>
  </sheetData>
  <sheetProtection password="CA19" sheet="1" objects="1" scenarios="1" selectLockedCells="1" selectUnlockedCells="1"/>
  <pageMargins left="0.7" right="0.7" top="0.75" bottom="0.75" header="0.3" footer="0.3"/>
  <pageSetup paperSize="5" scale="20" orientation="landscape" verticalDpi="1200" r:id="rId1"/>
  <rowBreaks count="3" manualBreakCount="3">
    <brk id="30" max="18" man="1"/>
    <brk id="71" max="18" man="1"/>
    <brk id="142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B1:O38"/>
  <sheetViews>
    <sheetView view="pageBreakPreview" zoomScale="60" zoomScaleNormal="86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J24" sqref="J24"/>
    </sheetView>
  </sheetViews>
  <sheetFormatPr defaultColWidth="9.140625" defaultRowHeight="14.25"/>
  <cols>
    <col min="1" max="1" width="2.7109375" style="116" customWidth="1"/>
    <col min="2" max="2" width="10.28515625" style="116" customWidth="1"/>
    <col min="3" max="3" width="31.5703125" style="116" bestFit="1" customWidth="1"/>
    <col min="4" max="4" width="32" style="116" customWidth="1"/>
    <col min="5" max="5" width="17.7109375" style="116" bestFit="1" customWidth="1"/>
    <col min="6" max="6" width="15.85546875" style="116" customWidth="1"/>
    <col min="7" max="7" width="16.28515625" style="116" bestFit="1" customWidth="1"/>
    <col min="8" max="8" width="17.28515625" style="116" bestFit="1" customWidth="1"/>
    <col min="9" max="9" width="15.85546875" style="116" customWidth="1"/>
    <col min="10" max="14" width="19.85546875" style="116" customWidth="1"/>
    <col min="15" max="15" width="48.140625" style="116" bestFit="1" customWidth="1"/>
    <col min="16" max="16384" width="9.140625" style="116"/>
  </cols>
  <sheetData>
    <row r="1" spans="2:15" ht="15" thickBot="1"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</row>
    <row r="2" spans="2:15" ht="15" thickBot="1">
      <c r="B2" s="229" t="s">
        <v>327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</row>
    <row r="3" spans="2:15" ht="15" thickBot="1"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</row>
    <row r="4" spans="2:15" ht="51" customHeight="1" thickBot="1">
      <c r="B4" s="117" t="s">
        <v>0</v>
      </c>
      <c r="C4" s="118" t="s">
        <v>1</v>
      </c>
      <c r="D4" s="118" t="s">
        <v>2</v>
      </c>
      <c r="E4" s="118" t="s">
        <v>3</v>
      </c>
      <c r="F4" s="118" t="s">
        <v>328</v>
      </c>
      <c r="G4" s="118" t="s">
        <v>143</v>
      </c>
      <c r="H4" s="118" t="s">
        <v>4</v>
      </c>
      <c r="I4" s="118" t="s">
        <v>329</v>
      </c>
      <c r="J4" s="118" t="s">
        <v>331</v>
      </c>
      <c r="K4" s="118" t="s">
        <v>574</v>
      </c>
      <c r="L4" s="118" t="s">
        <v>586</v>
      </c>
      <c r="M4" s="118" t="s">
        <v>587</v>
      </c>
      <c r="N4" s="118" t="s">
        <v>332</v>
      </c>
      <c r="O4" s="118" t="s">
        <v>607</v>
      </c>
    </row>
    <row r="5" spans="2:15" ht="42.75">
      <c r="B5" s="119">
        <v>1</v>
      </c>
      <c r="C5" s="120" t="s">
        <v>144</v>
      </c>
      <c r="D5" s="121" t="s">
        <v>572</v>
      </c>
      <c r="E5" s="122">
        <v>638271</v>
      </c>
      <c r="F5" s="123"/>
      <c r="G5" s="123">
        <v>57400</v>
      </c>
      <c r="H5" s="122">
        <f>E5+G5</f>
        <v>695671</v>
      </c>
      <c r="I5" s="122">
        <f>833771-76500-28500-76500-48000-76500-76500</f>
        <v>451271</v>
      </c>
      <c r="J5" s="122">
        <v>614771</v>
      </c>
      <c r="K5" s="122">
        <v>0</v>
      </c>
      <c r="L5" s="122">
        <f>+H5-J5-M5</f>
        <v>23500</v>
      </c>
      <c r="M5" s="122">
        <f>+G5</f>
        <v>57400</v>
      </c>
      <c r="N5" s="123">
        <v>0</v>
      </c>
      <c r="O5" s="124" t="s">
        <v>591</v>
      </c>
    </row>
    <row r="6" spans="2:15" ht="28.5">
      <c r="B6" s="125">
        <v>2</v>
      </c>
      <c r="C6" s="126" t="s">
        <v>145</v>
      </c>
      <c r="D6" s="29" t="s">
        <v>146</v>
      </c>
      <c r="E6" s="127">
        <v>1924906</v>
      </c>
      <c r="F6" s="128"/>
      <c r="G6" s="128">
        <v>1385932</v>
      </c>
      <c r="H6" s="127">
        <f>G6+E6</f>
        <v>3310838</v>
      </c>
      <c r="I6" s="127">
        <v>675</v>
      </c>
      <c r="J6" s="127">
        <v>706968</v>
      </c>
      <c r="K6" s="127">
        <v>0</v>
      </c>
      <c r="L6" s="127">
        <f>+H6-J6-M6</f>
        <v>1217938</v>
      </c>
      <c r="M6" s="127">
        <f>+G6</f>
        <v>1385932</v>
      </c>
      <c r="N6" s="128">
        <v>0</v>
      </c>
      <c r="O6" s="129" t="s">
        <v>592</v>
      </c>
    </row>
    <row r="7" spans="2:15" ht="28.5">
      <c r="B7" s="119">
        <v>3</v>
      </c>
      <c r="C7" s="126" t="s">
        <v>147</v>
      </c>
      <c r="D7" s="29" t="s">
        <v>148</v>
      </c>
      <c r="E7" s="127">
        <v>63114148</v>
      </c>
      <c r="F7" s="128"/>
      <c r="G7" s="128" t="s">
        <v>12</v>
      </c>
      <c r="H7" s="127">
        <f>E7</f>
        <v>63114148</v>
      </c>
      <c r="I7" s="127">
        <f>20436168+678769</f>
        <v>21114937</v>
      </c>
      <c r="J7" s="127">
        <f>+I7</f>
        <v>21114937</v>
      </c>
      <c r="K7" s="127">
        <v>0</v>
      </c>
      <c r="L7" s="127">
        <f>+H7-I7</f>
        <v>41999211</v>
      </c>
      <c r="M7" s="127">
        <v>0</v>
      </c>
      <c r="N7" s="128">
        <v>0</v>
      </c>
      <c r="O7" s="129" t="s">
        <v>592</v>
      </c>
    </row>
    <row r="8" spans="2:15" ht="117.75" customHeight="1">
      <c r="B8" s="125">
        <v>4</v>
      </c>
      <c r="C8" s="130" t="s">
        <v>149</v>
      </c>
      <c r="D8" s="29" t="s">
        <v>150</v>
      </c>
      <c r="E8" s="127">
        <v>8993860</v>
      </c>
      <c r="F8" s="128"/>
      <c r="G8" s="128" t="s">
        <v>12</v>
      </c>
      <c r="H8" s="127">
        <f>E8</f>
        <v>8993860</v>
      </c>
      <c r="I8" s="127">
        <f>8549016+328653</f>
        <v>8877669</v>
      </c>
      <c r="J8" s="127">
        <f>8993860-36517-562</f>
        <v>8956781</v>
      </c>
      <c r="K8" s="127">
        <v>0</v>
      </c>
      <c r="L8" s="127">
        <f>+E8-J8</f>
        <v>37079</v>
      </c>
      <c r="M8" s="127">
        <v>0</v>
      </c>
      <c r="N8" s="128">
        <v>0</v>
      </c>
      <c r="O8" s="129" t="s">
        <v>593</v>
      </c>
    </row>
    <row r="9" spans="2:15" ht="42.75">
      <c r="B9" s="119">
        <v>5</v>
      </c>
      <c r="C9" s="126" t="s">
        <v>153</v>
      </c>
      <c r="D9" s="29" t="s">
        <v>154</v>
      </c>
      <c r="E9" s="127">
        <f>782726</f>
        <v>782726</v>
      </c>
      <c r="F9" s="128">
        <f>11800+50000</f>
        <v>61800</v>
      </c>
      <c r="G9" s="128">
        <v>745241</v>
      </c>
      <c r="H9" s="127">
        <f>G9+E9+F9</f>
        <v>1589767</v>
      </c>
      <c r="I9" s="127">
        <v>764072</v>
      </c>
      <c r="J9" s="127">
        <v>764072</v>
      </c>
      <c r="K9" s="127">
        <f>+G9</f>
        <v>745241</v>
      </c>
      <c r="L9" s="127">
        <f>+H9-J9-K9</f>
        <v>80454</v>
      </c>
      <c r="M9" s="127">
        <v>0</v>
      </c>
      <c r="N9" s="128">
        <v>0</v>
      </c>
      <c r="O9" s="129" t="s">
        <v>593</v>
      </c>
    </row>
    <row r="10" spans="2:15" ht="42.75">
      <c r="B10" s="125">
        <v>6</v>
      </c>
      <c r="C10" s="126" t="s">
        <v>155</v>
      </c>
      <c r="D10" s="29" t="s">
        <v>156</v>
      </c>
      <c r="E10" s="127">
        <v>2354974</v>
      </c>
      <c r="F10" s="128"/>
      <c r="G10" s="128">
        <v>1416931.53</v>
      </c>
      <c r="H10" s="127">
        <f>G10+E10</f>
        <v>3771905.5300000003</v>
      </c>
      <c r="I10" s="127">
        <v>615780</v>
      </c>
      <c r="J10" s="127">
        <f>+I10</f>
        <v>615780</v>
      </c>
      <c r="K10" s="127">
        <v>0</v>
      </c>
      <c r="L10" s="127">
        <f>+H10-J10-M10</f>
        <v>1739194.0000000002</v>
      </c>
      <c r="M10" s="127">
        <f>+G10</f>
        <v>1416931.53</v>
      </c>
      <c r="N10" s="128">
        <v>0</v>
      </c>
      <c r="O10" s="129" t="s">
        <v>594</v>
      </c>
    </row>
    <row r="11" spans="2:15" ht="42.75">
      <c r="B11" s="119">
        <v>7</v>
      </c>
      <c r="C11" s="126" t="s">
        <v>159</v>
      </c>
      <c r="D11" s="29" t="s">
        <v>160</v>
      </c>
      <c r="E11" s="127">
        <v>18899696</v>
      </c>
      <c r="F11" s="128"/>
      <c r="G11" s="128">
        <v>3392495</v>
      </c>
      <c r="H11" s="127">
        <f>E11+G11</f>
        <v>22292191</v>
      </c>
      <c r="I11" s="127">
        <v>0</v>
      </c>
      <c r="J11" s="127">
        <v>0</v>
      </c>
      <c r="K11" s="127">
        <v>0</v>
      </c>
      <c r="L11" s="127">
        <f>+H11-M11</f>
        <v>18899696</v>
      </c>
      <c r="M11" s="127">
        <f>+G11</f>
        <v>3392495</v>
      </c>
      <c r="N11" s="128">
        <v>0</v>
      </c>
      <c r="O11" s="131" t="s">
        <v>603</v>
      </c>
    </row>
    <row r="12" spans="2:15" ht="28.5">
      <c r="B12" s="125">
        <v>8</v>
      </c>
      <c r="C12" s="126" t="s">
        <v>162</v>
      </c>
      <c r="D12" s="29" t="s">
        <v>163</v>
      </c>
      <c r="E12" s="127">
        <v>309825681</v>
      </c>
      <c r="F12" s="128"/>
      <c r="G12" s="128">
        <v>91776238</v>
      </c>
      <c r="H12" s="127">
        <f>E12+G12</f>
        <v>401601919</v>
      </c>
      <c r="I12" s="127">
        <f>20042623-12820777</f>
        <v>7221846</v>
      </c>
      <c r="J12" s="127">
        <f>+I12</f>
        <v>7221846</v>
      </c>
      <c r="K12" s="127">
        <v>0</v>
      </c>
      <c r="L12" s="127">
        <f>+H12-J12-M12</f>
        <v>302603835</v>
      </c>
      <c r="M12" s="127">
        <f>+G12</f>
        <v>91776238</v>
      </c>
      <c r="N12" s="128">
        <v>0</v>
      </c>
      <c r="O12" s="129" t="s">
        <v>592</v>
      </c>
    </row>
    <row r="13" spans="2:15" ht="28.5">
      <c r="B13" s="119">
        <v>9</v>
      </c>
      <c r="C13" s="126" t="s">
        <v>164</v>
      </c>
      <c r="D13" s="29" t="s">
        <v>165</v>
      </c>
      <c r="E13" s="127">
        <v>4611521</v>
      </c>
      <c r="F13" s="128"/>
      <c r="G13" s="128" t="s">
        <v>12</v>
      </c>
      <c r="H13" s="127">
        <f>E13</f>
        <v>4611521</v>
      </c>
      <c r="I13" s="127">
        <v>2913919</v>
      </c>
      <c r="J13" s="127">
        <f>+E13</f>
        <v>4611521</v>
      </c>
      <c r="K13" s="127">
        <v>0</v>
      </c>
      <c r="L13" s="127">
        <f>+H13-J13</f>
        <v>0</v>
      </c>
      <c r="M13" s="127">
        <v>0</v>
      </c>
      <c r="N13" s="128">
        <f>+H13-J13</f>
        <v>0</v>
      </c>
      <c r="O13" s="132"/>
    </row>
    <row r="14" spans="2:15" ht="57">
      <c r="B14" s="125">
        <v>10</v>
      </c>
      <c r="C14" s="130" t="s">
        <v>166</v>
      </c>
      <c r="D14" s="29" t="s">
        <v>167</v>
      </c>
      <c r="E14" s="127">
        <v>4029965.36</v>
      </c>
      <c r="F14" s="128"/>
      <c r="G14" s="128">
        <v>1436213</v>
      </c>
      <c r="H14" s="127">
        <f>G14+E14</f>
        <v>5466178.3599999994</v>
      </c>
      <c r="I14" s="127"/>
      <c r="J14" s="127">
        <v>0</v>
      </c>
      <c r="K14" s="127">
        <v>0</v>
      </c>
      <c r="L14" s="127">
        <f>+H14-M14</f>
        <v>4029965.3599999994</v>
      </c>
      <c r="M14" s="127">
        <f>+G14</f>
        <v>1436213</v>
      </c>
      <c r="N14" s="128">
        <v>0</v>
      </c>
      <c r="O14" s="129" t="s">
        <v>595</v>
      </c>
    </row>
    <row r="15" spans="2:15" ht="42.75">
      <c r="B15" s="119">
        <v>11</v>
      </c>
      <c r="C15" s="126" t="s">
        <v>168</v>
      </c>
      <c r="D15" s="29" t="s">
        <v>169</v>
      </c>
      <c r="E15" s="127">
        <v>2250000</v>
      </c>
      <c r="F15" s="128"/>
      <c r="G15" s="128" t="s">
        <v>12</v>
      </c>
      <c r="H15" s="127">
        <f>E15</f>
        <v>2250000</v>
      </c>
      <c r="I15" s="127">
        <v>-450000</v>
      </c>
      <c r="J15" s="127">
        <v>1400000</v>
      </c>
      <c r="K15" s="127">
        <v>0</v>
      </c>
      <c r="L15" s="127">
        <f>+H15-J15</f>
        <v>850000</v>
      </c>
      <c r="M15" s="127">
        <v>0</v>
      </c>
      <c r="N15" s="128">
        <v>0</v>
      </c>
      <c r="O15" s="131" t="s">
        <v>604</v>
      </c>
    </row>
    <row r="16" spans="2:15" ht="28.5">
      <c r="B16" s="125">
        <v>12</v>
      </c>
      <c r="C16" s="126" t="s">
        <v>170</v>
      </c>
      <c r="D16" s="29" t="s">
        <v>171</v>
      </c>
      <c r="E16" s="127">
        <v>2645933</v>
      </c>
      <c r="F16" s="128"/>
      <c r="G16" s="128">
        <f>2804319+47218</f>
        <v>2851537</v>
      </c>
      <c r="H16" s="127">
        <f>E16+G16</f>
        <v>5497470</v>
      </c>
      <c r="I16" s="127">
        <v>2630728</v>
      </c>
      <c r="J16" s="127">
        <f>+E16</f>
        <v>2645933</v>
      </c>
      <c r="K16" s="127">
        <f>+G16</f>
        <v>2851537</v>
      </c>
      <c r="L16" s="127">
        <f>+H16-J16-K16</f>
        <v>0</v>
      </c>
      <c r="M16" s="127">
        <v>0</v>
      </c>
      <c r="N16" s="128">
        <v>0</v>
      </c>
      <c r="O16" s="129"/>
    </row>
    <row r="17" spans="2:15" ht="57">
      <c r="B17" s="119">
        <v>13</v>
      </c>
      <c r="C17" s="126" t="s">
        <v>172</v>
      </c>
      <c r="D17" s="29" t="s">
        <v>173</v>
      </c>
      <c r="E17" s="127">
        <v>13175083</v>
      </c>
      <c r="F17" s="128"/>
      <c r="G17" s="128">
        <v>9517101</v>
      </c>
      <c r="H17" s="127">
        <f>E17+G17</f>
        <v>22692184</v>
      </c>
      <c r="I17" s="127"/>
      <c r="J17" s="127">
        <v>0</v>
      </c>
      <c r="K17" s="127">
        <v>0</v>
      </c>
      <c r="L17" s="127">
        <f>+H17-M17</f>
        <v>13175083</v>
      </c>
      <c r="M17" s="127">
        <f>+G17</f>
        <v>9517101</v>
      </c>
      <c r="N17" s="128">
        <v>0</v>
      </c>
      <c r="O17" s="129" t="s">
        <v>589</v>
      </c>
    </row>
    <row r="18" spans="2:15" ht="28.5">
      <c r="B18" s="125">
        <v>14</v>
      </c>
      <c r="C18" s="126" t="s">
        <v>176</v>
      </c>
      <c r="D18" s="29" t="s">
        <v>177</v>
      </c>
      <c r="E18" s="127">
        <v>3723250</v>
      </c>
      <c r="F18" s="128"/>
      <c r="G18" s="128" t="s">
        <v>12</v>
      </c>
      <c r="H18" s="127">
        <f>E18</f>
        <v>3723250</v>
      </c>
      <c r="I18" s="127">
        <v>220150</v>
      </c>
      <c r="J18" s="127">
        <v>88850</v>
      </c>
      <c r="K18" s="127">
        <v>0</v>
      </c>
      <c r="L18" s="127">
        <f>+H18-J18</f>
        <v>3634400</v>
      </c>
      <c r="M18" s="127">
        <v>0</v>
      </c>
      <c r="N18" s="128">
        <v>0</v>
      </c>
      <c r="O18" s="129" t="s">
        <v>596</v>
      </c>
    </row>
    <row r="19" spans="2:15" ht="61.5" customHeight="1">
      <c r="B19" s="119">
        <v>15</v>
      </c>
      <c r="C19" s="126" t="s">
        <v>178</v>
      </c>
      <c r="D19" s="29" t="s">
        <v>179</v>
      </c>
      <c r="E19" s="127">
        <v>228346</v>
      </c>
      <c r="F19" s="128"/>
      <c r="G19" s="128">
        <v>118352</v>
      </c>
      <c r="H19" s="127">
        <f>E19+G19</f>
        <v>346698</v>
      </c>
      <c r="I19" s="127">
        <v>1236623</v>
      </c>
      <c r="J19" s="127">
        <f>+E19</f>
        <v>228346</v>
      </c>
      <c r="K19" s="127">
        <f>+G19</f>
        <v>118352</v>
      </c>
      <c r="L19" s="127">
        <v>0</v>
      </c>
      <c r="M19" s="127">
        <v>0</v>
      </c>
      <c r="N19" s="128">
        <v>0</v>
      </c>
      <c r="O19" s="129"/>
    </row>
    <row r="20" spans="2:15" ht="165" customHeight="1">
      <c r="B20" s="125">
        <v>16</v>
      </c>
      <c r="C20" s="126" t="s">
        <v>180</v>
      </c>
      <c r="D20" s="29" t="s">
        <v>588</v>
      </c>
      <c r="E20" s="127">
        <v>5202066</v>
      </c>
      <c r="F20" s="128"/>
      <c r="G20" s="128" t="s">
        <v>12</v>
      </c>
      <c r="H20" s="127">
        <f>E20</f>
        <v>5202066</v>
      </c>
      <c r="I20" s="127">
        <v>677400</v>
      </c>
      <c r="J20" s="127">
        <v>0</v>
      </c>
      <c r="K20" s="127">
        <v>0</v>
      </c>
      <c r="L20" s="127">
        <f>+H20</f>
        <v>5202066</v>
      </c>
      <c r="M20" s="127">
        <v>0</v>
      </c>
      <c r="N20" s="128">
        <v>0</v>
      </c>
      <c r="O20" s="129" t="s">
        <v>595</v>
      </c>
    </row>
    <row r="21" spans="2:15" ht="29.25" thickBot="1">
      <c r="B21" s="119">
        <v>17</v>
      </c>
      <c r="C21" s="126" t="s">
        <v>181</v>
      </c>
      <c r="D21" s="29" t="s">
        <v>182</v>
      </c>
      <c r="E21" s="127">
        <v>9573666</v>
      </c>
      <c r="F21" s="128"/>
      <c r="G21" s="128" t="s">
        <v>12</v>
      </c>
      <c r="H21" s="127">
        <f>E21</f>
        <v>9573666</v>
      </c>
      <c r="I21" s="127"/>
      <c r="J21" s="127">
        <v>0</v>
      </c>
      <c r="K21" s="127">
        <v>0</v>
      </c>
      <c r="L21" s="127">
        <f>+H21</f>
        <v>9573666</v>
      </c>
      <c r="M21" s="127">
        <v>0</v>
      </c>
      <c r="N21" s="128">
        <v>0</v>
      </c>
      <c r="O21" s="133" t="s">
        <v>605</v>
      </c>
    </row>
    <row r="22" spans="2:15" ht="29.25" thickBot="1">
      <c r="B22" s="125">
        <v>18</v>
      </c>
      <c r="C22" s="134" t="s">
        <v>181</v>
      </c>
      <c r="D22" s="50" t="s">
        <v>182</v>
      </c>
      <c r="E22" s="135">
        <v>56755260.299999997</v>
      </c>
      <c r="F22" s="136"/>
      <c r="G22" s="137" t="s">
        <v>183</v>
      </c>
      <c r="H22" s="135">
        <f>E22</f>
        <v>56755260.299999997</v>
      </c>
      <c r="I22" s="135"/>
      <c r="J22" s="135">
        <v>0</v>
      </c>
      <c r="K22" s="135">
        <v>0</v>
      </c>
      <c r="L22" s="135">
        <f>+H22</f>
        <v>56755260.299999997</v>
      </c>
      <c r="M22" s="135">
        <v>0</v>
      </c>
      <c r="N22" s="136">
        <v>0</v>
      </c>
      <c r="O22" s="133" t="s">
        <v>605</v>
      </c>
    </row>
    <row r="23" spans="2:15" ht="29.25" thickBot="1">
      <c r="B23" s="125">
        <v>19</v>
      </c>
      <c r="C23" s="126" t="s">
        <v>181</v>
      </c>
      <c r="D23" s="29" t="s">
        <v>182</v>
      </c>
      <c r="E23" s="127">
        <v>18977925</v>
      </c>
      <c r="F23" s="128"/>
      <c r="G23" s="128" t="s">
        <v>12</v>
      </c>
      <c r="H23" s="127">
        <f>E23</f>
        <v>18977925</v>
      </c>
      <c r="I23" s="127"/>
      <c r="J23" s="127"/>
      <c r="K23" s="127"/>
      <c r="L23" s="127">
        <f>+H23</f>
        <v>18977925</v>
      </c>
      <c r="M23" s="127"/>
      <c r="N23" s="128">
        <v>0</v>
      </c>
      <c r="O23" s="133" t="s">
        <v>605</v>
      </c>
    </row>
    <row r="24" spans="2:15" s="140" customFormat="1" ht="15" thickBot="1">
      <c r="B24" s="138"/>
      <c r="C24" s="138" t="s">
        <v>334</v>
      </c>
      <c r="D24" s="138"/>
      <c r="E24" s="139">
        <f>SUM(E5:E23)</f>
        <v>527707277.66000003</v>
      </c>
      <c r="F24" s="139">
        <f t="shared" ref="F24:N24" si="0">SUM(F5:F23)</f>
        <v>61800</v>
      </c>
      <c r="G24" s="139">
        <f t="shared" si="0"/>
        <v>112697440.53</v>
      </c>
      <c r="H24" s="139">
        <f t="shared" si="0"/>
        <v>640466518.18999994</v>
      </c>
      <c r="I24" s="139">
        <f t="shared" si="0"/>
        <v>46275070</v>
      </c>
      <c r="J24" s="139">
        <f t="shared" si="0"/>
        <v>48969805</v>
      </c>
      <c r="K24" s="139">
        <f t="shared" si="0"/>
        <v>3715130</v>
      </c>
      <c r="L24" s="139">
        <f t="shared" si="0"/>
        <v>478799272.66000003</v>
      </c>
      <c r="M24" s="139">
        <f t="shared" si="0"/>
        <v>108982310.53</v>
      </c>
      <c r="N24" s="139">
        <f t="shared" si="0"/>
        <v>0</v>
      </c>
      <c r="O24" s="138"/>
    </row>
    <row r="25" spans="2:15" s="140" customFormat="1" ht="15.75" thickTop="1" thickBot="1">
      <c r="B25" s="141"/>
      <c r="C25" s="141"/>
      <c r="D25" s="141"/>
      <c r="E25" s="142"/>
      <c r="F25" s="141"/>
      <c r="G25" s="141"/>
      <c r="H25" s="142"/>
      <c r="I25" s="142"/>
      <c r="J25" s="142"/>
      <c r="K25" s="142"/>
      <c r="L25" s="142"/>
      <c r="M25" s="142"/>
      <c r="N25" s="141"/>
      <c r="O25" s="141"/>
    </row>
    <row r="26" spans="2:15" ht="15" thickBot="1">
      <c r="B26" s="229" t="s">
        <v>559</v>
      </c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</row>
    <row r="27" spans="2:15" ht="15" thickBot="1"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</row>
    <row r="28" spans="2:15" ht="51" customHeight="1" thickBot="1">
      <c r="B28" s="117" t="s">
        <v>0</v>
      </c>
      <c r="C28" s="118" t="s">
        <v>1</v>
      </c>
      <c r="D28" s="118" t="s">
        <v>2</v>
      </c>
      <c r="E28" s="118" t="s">
        <v>3</v>
      </c>
      <c r="F28" s="118" t="s">
        <v>328</v>
      </c>
      <c r="G28" s="118" t="s">
        <v>143</v>
      </c>
      <c r="H28" s="118" t="s">
        <v>4</v>
      </c>
      <c r="I28" s="118" t="s">
        <v>329</v>
      </c>
      <c r="J28" s="118" t="s">
        <v>331</v>
      </c>
      <c r="K28" s="118" t="s">
        <v>574</v>
      </c>
      <c r="L28" s="118" t="s">
        <v>586</v>
      </c>
      <c r="M28" s="118" t="s">
        <v>587</v>
      </c>
      <c r="N28" s="118" t="s">
        <v>332</v>
      </c>
      <c r="O28" s="118" t="s">
        <v>607</v>
      </c>
    </row>
    <row r="29" spans="2:15" ht="51" customHeight="1" thickBot="1">
      <c r="B29" s="143">
        <v>1</v>
      </c>
      <c r="C29" s="144" t="s">
        <v>556</v>
      </c>
      <c r="D29" s="50" t="s">
        <v>557</v>
      </c>
      <c r="E29" s="145">
        <v>6555829</v>
      </c>
      <c r="F29" s="146">
        <v>655583</v>
      </c>
      <c r="G29" s="147">
        <v>7866995</v>
      </c>
      <c r="H29" s="145">
        <f>+E29+F29+G29</f>
        <v>15078407</v>
      </c>
      <c r="I29" s="148"/>
      <c r="J29" s="145">
        <f>+E29+F29</f>
        <v>7211412</v>
      </c>
      <c r="K29" s="145">
        <f>+G29</f>
        <v>7866995</v>
      </c>
      <c r="L29" s="148"/>
      <c r="M29" s="148"/>
      <c r="N29" s="148"/>
      <c r="O29" s="149"/>
    </row>
    <row r="30" spans="2:15" ht="57.75" thickBot="1">
      <c r="B30" s="150">
        <v>2</v>
      </c>
      <c r="C30" s="144" t="s">
        <v>556</v>
      </c>
      <c r="D30" s="50" t="s">
        <v>557</v>
      </c>
      <c r="E30" s="145">
        <v>2772012</v>
      </c>
      <c r="F30" s="146">
        <v>277201</v>
      </c>
      <c r="G30" s="147">
        <v>2702712</v>
      </c>
      <c r="H30" s="145">
        <f>+E30+F30+G30</f>
        <v>5751925</v>
      </c>
      <c r="I30" s="135"/>
      <c r="J30" s="145">
        <f>+E30+F30</f>
        <v>3049213</v>
      </c>
      <c r="K30" s="145">
        <f>+G30</f>
        <v>2702712</v>
      </c>
      <c r="L30" s="135"/>
      <c r="M30" s="135"/>
      <c r="N30" s="136">
        <v>0</v>
      </c>
      <c r="O30" s="5" t="s">
        <v>597</v>
      </c>
    </row>
    <row r="31" spans="2:15" ht="43.5" thickBot="1">
      <c r="B31" s="125">
        <v>3</v>
      </c>
      <c r="C31" s="130" t="s">
        <v>174</v>
      </c>
      <c r="D31" s="29" t="s">
        <v>175</v>
      </c>
      <c r="E31" s="127">
        <v>318063719</v>
      </c>
      <c r="F31" s="128"/>
      <c r="G31" s="128" t="s">
        <v>12</v>
      </c>
      <c r="H31" s="127">
        <f>E31</f>
        <v>318063719</v>
      </c>
      <c r="I31" s="127"/>
      <c r="J31" s="127"/>
      <c r="K31" s="127"/>
      <c r="L31" s="127">
        <f>+H31</f>
        <v>318063719</v>
      </c>
      <c r="M31" s="127"/>
      <c r="N31" s="128"/>
      <c r="O31" s="5" t="s">
        <v>597</v>
      </c>
    </row>
    <row r="32" spans="2:15" s="140" customFormat="1" ht="15" thickBot="1">
      <c r="B32" s="138"/>
      <c r="C32" s="138" t="s">
        <v>334</v>
      </c>
      <c r="D32" s="138"/>
      <c r="E32" s="139">
        <f>SUM(E29:E31)</f>
        <v>327391560</v>
      </c>
      <c r="F32" s="139">
        <f t="shared" ref="F32:N32" si="1">SUM(F29:F31)</f>
        <v>932784</v>
      </c>
      <c r="G32" s="139">
        <f t="shared" si="1"/>
        <v>10569707</v>
      </c>
      <c r="H32" s="139">
        <f t="shared" si="1"/>
        <v>338894051</v>
      </c>
      <c r="I32" s="139">
        <f t="shared" si="1"/>
        <v>0</v>
      </c>
      <c r="J32" s="139">
        <f t="shared" si="1"/>
        <v>10260625</v>
      </c>
      <c r="K32" s="139">
        <f t="shared" si="1"/>
        <v>10569707</v>
      </c>
      <c r="L32" s="139">
        <f t="shared" si="1"/>
        <v>318063719</v>
      </c>
      <c r="M32" s="139">
        <f t="shared" si="1"/>
        <v>0</v>
      </c>
      <c r="N32" s="139">
        <f t="shared" si="1"/>
        <v>0</v>
      </c>
      <c r="O32" s="138"/>
    </row>
    <row r="33" spans="2:15" s="140" customFormat="1" ht="15" thickTop="1">
      <c r="B33" s="141"/>
      <c r="C33" s="141"/>
      <c r="D33" s="141"/>
      <c r="E33" s="142"/>
      <c r="F33" s="142"/>
      <c r="G33" s="142"/>
      <c r="H33" s="142"/>
      <c r="I33" s="142"/>
      <c r="J33" s="142"/>
      <c r="K33" s="142"/>
      <c r="L33" s="142"/>
      <c r="M33" s="142"/>
      <c r="N33" s="141"/>
      <c r="O33" s="141"/>
    </row>
    <row r="34" spans="2:15" ht="15" thickBot="1">
      <c r="B34" s="151" t="s">
        <v>583</v>
      </c>
    </row>
    <row r="35" spans="2:15" ht="51" customHeight="1" thickBot="1">
      <c r="B35" s="117" t="s">
        <v>0</v>
      </c>
      <c r="C35" s="118" t="s">
        <v>1</v>
      </c>
      <c r="D35" s="118" t="s">
        <v>2</v>
      </c>
      <c r="E35" s="118" t="s">
        <v>3</v>
      </c>
      <c r="F35" s="118" t="s">
        <v>328</v>
      </c>
      <c r="G35" s="118" t="s">
        <v>143</v>
      </c>
      <c r="H35" s="118" t="s">
        <v>4</v>
      </c>
      <c r="I35" s="118" t="s">
        <v>329</v>
      </c>
      <c r="J35" s="118" t="s">
        <v>331</v>
      </c>
      <c r="K35" s="118" t="s">
        <v>574</v>
      </c>
      <c r="L35" s="118" t="s">
        <v>573</v>
      </c>
      <c r="M35" s="118"/>
      <c r="N35" s="118" t="s">
        <v>332</v>
      </c>
      <c r="O35" s="118" t="s">
        <v>607</v>
      </c>
    </row>
    <row r="36" spans="2:15" ht="71.25">
      <c r="B36" s="119">
        <v>1</v>
      </c>
      <c r="C36" s="126" t="s">
        <v>151</v>
      </c>
      <c r="D36" s="29" t="s">
        <v>152</v>
      </c>
      <c r="E36" s="127">
        <v>14100000</v>
      </c>
      <c r="F36" s="128"/>
      <c r="G36" s="128">
        <v>10575000</v>
      </c>
      <c r="H36" s="127">
        <f>G36+E36</f>
        <v>24675000</v>
      </c>
      <c r="I36" s="127"/>
      <c r="J36" s="127">
        <v>0</v>
      </c>
      <c r="K36" s="127"/>
      <c r="L36" s="127">
        <f>+H36</f>
        <v>24675000</v>
      </c>
      <c r="M36" s="127"/>
      <c r="N36" s="128"/>
      <c r="O36" s="152" t="s">
        <v>598</v>
      </c>
    </row>
    <row r="37" spans="2:15" ht="28.5">
      <c r="B37" s="125">
        <v>2</v>
      </c>
      <c r="C37" s="126" t="s">
        <v>157</v>
      </c>
      <c r="D37" s="29" t="s">
        <v>158</v>
      </c>
      <c r="E37" s="127">
        <v>1582482</v>
      </c>
      <c r="F37" s="128"/>
      <c r="G37" s="128" t="s">
        <v>12</v>
      </c>
      <c r="H37" s="127">
        <f>E37</f>
        <v>1582482</v>
      </c>
      <c r="I37" s="127"/>
      <c r="J37" s="127"/>
      <c r="K37" s="127"/>
      <c r="L37" s="127">
        <f>+H37</f>
        <v>1582482</v>
      </c>
      <c r="M37" s="127"/>
      <c r="N37" s="128"/>
      <c r="O37" s="152" t="s">
        <v>599</v>
      </c>
    </row>
    <row r="38" spans="2:15" ht="81" customHeight="1" thickBot="1">
      <c r="B38" s="150">
        <v>3</v>
      </c>
      <c r="C38" s="134" t="s">
        <v>161</v>
      </c>
      <c r="D38" s="50" t="s">
        <v>610</v>
      </c>
      <c r="E38" s="135">
        <v>10490320</v>
      </c>
      <c r="F38" s="136"/>
      <c r="G38" s="136" t="s">
        <v>12</v>
      </c>
      <c r="H38" s="135">
        <f>E38</f>
        <v>10490320</v>
      </c>
      <c r="I38" s="135"/>
      <c r="J38" s="135"/>
      <c r="K38" s="135"/>
      <c r="L38" s="135">
        <f>+H38</f>
        <v>10490320</v>
      </c>
      <c r="M38" s="135"/>
      <c r="N38" s="136"/>
      <c r="O38" s="153" t="s">
        <v>600</v>
      </c>
    </row>
  </sheetData>
  <sheetProtection password="CA19" sheet="1" objects="1" scenarios="1" selectLockedCells="1" selectUnlockedCells="1"/>
  <mergeCells count="5">
    <mergeCell ref="B27:O27"/>
    <mergeCell ref="B2:O2"/>
    <mergeCell ref="B1:O1"/>
    <mergeCell ref="B3:O3"/>
    <mergeCell ref="B26:O26"/>
  </mergeCells>
  <pageMargins left="0.7" right="0.7" top="0.75" bottom="0.75" header="0.3" footer="0.3"/>
  <pageSetup paperSize="9" scale="27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N38"/>
  <sheetViews>
    <sheetView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I32" sqref="I32"/>
    </sheetView>
  </sheetViews>
  <sheetFormatPr defaultColWidth="9.140625" defaultRowHeight="14.25"/>
  <cols>
    <col min="1" max="1" width="9.140625" style="156"/>
    <col min="2" max="2" width="9.28515625" style="156" bestFit="1" customWidth="1"/>
    <col min="3" max="3" width="23.42578125" style="156" customWidth="1"/>
    <col min="4" max="4" width="31" style="156" bestFit="1" customWidth="1"/>
    <col min="5" max="5" width="14.28515625" style="156" bestFit="1" customWidth="1"/>
    <col min="6" max="6" width="14.85546875" style="156" bestFit="1" customWidth="1"/>
    <col min="7" max="7" width="18.7109375" style="156" bestFit="1" customWidth="1"/>
    <col min="8" max="8" width="18.28515625" style="156" bestFit="1" customWidth="1"/>
    <col min="9" max="9" width="19" style="156" bestFit="1" customWidth="1"/>
    <col min="10" max="13" width="15.7109375" style="156" customWidth="1"/>
    <col min="14" max="14" width="69.140625" style="156" customWidth="1"/>
    <col min="15" max="16384" width="9.140625" style="156"/>
  </cols>
  <sheetData>
    <row r="1" spans="2:14" ht="15" thickBot="1"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5"/>
    </row>
    <row r="2" spans="2:14" ht="15" thickBot="1">
      <c r="B2" s="232" t="s">
        <v>326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4"/>
    </row>
    <row r="3" spans="2:14" ht="15" thickBot="1">
      <c r="B3" s="157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9"/>
    </row>
    <row r="4" spans="2:14" ht="72" thickBot="1">
      <c r="B4" s="160" t="s">
        <v>244</v>
      </c>
      <c r="C4" s="161" t="s">
        <v>184</v>
      </c>
      <c r="D4" s="161" t="s">
        <v>185</v>
      </c>
      <c r="E4" s="161" t="s">
        <v>564</v>
      </c>
      <c r="F4" s="161" t="s">
        <v>186</v>
      </c>
      <c r="G4" s="161" t="s">
        <v>187</v>
      </c>
      <c r="H4" s="161" t="s">
        <v>325</v>
      </c>
      <c r="I4" s="161" t="s">
        <v>188</v>
      </c>
      <c r="J4" s="162" t="s">
        <v>584</v>
      </c>
      <c r="K4" s="162" t="s">
        <v>566</v>
      </c>
      <c r="L4" s="162" t="s">
        <v>563</v>
      </c>
      <c r="M4" s="162" t="s">
        <v>585</v>
      </c>
      <c r="N4" s="163" t="s">
        <v>590</v>
      </c>
    </row>
    <row r="5" spans="2:14" ht="28.5">
      <c r="B5" s="164">
        <v>1</v>
      </c>
      <c r="C5" s="165" t="s">
        <v>189</v>
      </c>
      <c r="D5" s="166" t="s">
        <v>567</v>
      </c>
      <c r="E5" s="166">
        <f>1472146-250000</f>
        <v>1222146</v>
      </c>
      <c r="F5" s="167">
        <v>0</v>
      </c>
      <c r="G5" s="168">
        <v>641626.65</v>
      </c>
      <c r="H5" s="166">
        <v>250000</v>
      </c>
      <c r="I5" s="169">
        <f>E5+F5+G5+H5</f>
        <v>2113772.65</v>
      </c>
      <c r="J5" s="170">
        <f>+E5+200000</f>
        <v>1422146</v>
      </c>
      <c r="K5" s="170">
        <v>0</v>
      </c>
      <c r="L5" s="171">
        <v>50000</v>
      </c>
      <c r="M5" s="171">
        <f>+I5-J5-L5</f>
        <v>641626.64999999991</v>
      </c>
      <c r="N5" s="172" t="s">
        <v>601</v>
      </c>
    </row>
    <row r="6" spans="2:14" ht="57">
      <c r="B6" s="173">
        <v>2</v>
      </c>
      <c r="C6" s="174" t="s">
        <v>190</v>
      </c>
      <c r="D6" s="175" t="s">
        <v>191</v>
      </c>
      <c r="E6" s="175">
        <f>283400+70850</f>
        <v>354250</v>
      </c>
      <c r="F6" s="176">
        <v>161538</v>
      </c>
      <c r="G6" s="175">
        <v>0</v>
      </c>
      <c r="H6" s="175">
        <v>42000</v>
      </c>
      <c r="I6" s="169">
        <f t="shared" ref="I6:I14" si="0">+E6+F6+G6+H6</f>
        <v>557788</v>
      </c>
      <c r="J6" s="170">
        <v>0</v>
      </c>
      <c r="K6" s="177">
        <v>0</v>
      </c>
      <c r="L6" s="178">
        <v>557788</v>
      </c>
      <c r="M6" s="178">
        <v>0</v>
      </c>
      <c r="N6" s="179" t="s">
        <v>602</v>
      </c>
    </row>
    <row r="7" spans="2:14" ht="42.75">
      <c r="B7" s="173">
        <v>3</v>
      </c>
      <c r="C7" s="174" t="s">
        <v>192</v>
      </c>
      <c r="D7" s="175" t="s">
        <v>193</v>
      </c>
      <c r="E7" s="170">
        <v>0</v>
      </c>
      <c r="F7" s="176">
        <v>27692</v>
      </c>
      <c r="G7" s="175">
        <v>0</v>
      </c>
      <c r="H7" s="175">
        <v>3200</v>
      </c>
      <c r="I7" s="169">
        <f t="shared" si="0"/>
        <v>30892</v>
      </c>
      <c r="J7" s="170">
        <v>0</v>
      </c>
      <c r="K7" s="169">
        <v>0</v>
      </c>
      <c r="L7" s="169">
        <v>30892</v>
      </c>
      <c r="M7" s="169">
        <v>0</v>
      </c>
      <c r="N7" s="179" t="s">
        <v>602</v>
      </c>
    </row>
    <row r="8" spans="2:14" ht="42.75">
      <c r="B8" s="164">
        <v>4</v>
      </c>
      <c r="C8" s="174" t="s">
        <v>194</v>
      </c>
      <c r="D8" s="175" t="s">
        <v>195</v>
      </c>
      <c r="E8" s="175">
        <f>43852+20000</f>
        <v>63852</v>
      </c>
      <c r="F8" s="180">
        <v>83077</v>
      </c>
      <c r="G8" s="175">
        <v>0</v>
      </c>
      <c r="H8" s="175">
        <f>6233+13200+2500</f>
        <v>21933</v>
      </c>
      <c r="I8" s="169">
        <f t="shared" si="0"/>
        <v>168862</v>
      </c>
      <c r="J8" s="170">
        <v>0</v>
      </c>
      <c r="K8" s="177">
        <v>0</v>
      </c>
      <c r="L8" s="178">
        <v>168862</v>
      </c>
      <c r="M8" s="178">
        <v>0</v>
      </c>
      <c r="N8" s="179" t="s">
        <v>602</v>
      </c>
    </row>
    <row r="9" spans="2:14" ht="28.5">
      <c r="B9" s="173">
        <v>5</v>
      </c>
      <c r="C9" s="174" t="s">
        <v>196</v>
      </c>
      <c r="D9" s="175" t="s">
        <v>197</v>
      </c>
      <c r="E9" s="175">
        <v>0</v>
      </c>
      <c r="F9" s="176">
        <v>210000</v>
      </c>
      <c r="G9" s="175">
        <v>94500</v>
      </c>
      <c r="H9" s="175">
        <v>0</v>
      </c>
      <c r="I9" s="169">
        <f t="shared" si="0"/>
        <v>304500</v>
      </c>
      <c r="J9" s="175">
        <f>+F9</f>
        <v>210000</v>
      </c>
      <c r="K9" s="175">
        <v>0</v>
      </c>
      <c r="L9" s="175">
        <v>0</v>
      </c>
      <c r="M9" s="178">
        <f>+I9-J9</f>
        <v>94500</v>
      </c>
      <c r="N9" s="179" t="s">
        <v>606</v>
      </c>
    </row>
    <row r="10" spans="2:14" ht="71.25">
      <c r="B10" s="173">
        <v>6</v>
      </c>
      <c r="C10" s="174" t="s">
        <v>198</v>
      </c>
      <c r="D10" s="175" t="s">
        <v>568</v>
      </c>
      <c r="E10" s="175">
        <v>67140</v>
      </c>
      <c r="F10" s="180">
        <v>0</v>
      </c>
      <c r="G10" s="175">
        <v>29642</v>
      </c>
      <c r="H10" s="175">
        <v>15200</v>
      </c>
      <c r="I10" s="169">
        <f t="shared" si="0"/>
        <v>111982</v>
      </c>
      <c r="J10" s="175">
        <f>+E10+G10</f>
        <v>96782</v>
      </c>
      <c r="K10" s="169">
        <v>0</v>
      </c>
      <c r="L10" s="169">
        <v>0</v>
      </c>
      <c r="M10" s="169">
        <f>+I10-J10</f>
        <v>15200</v>
      </c>
      <c r="N10" s="179" t="s">
        <v>606</v>
      </c>
    </row>
    <row r="11" spans="2:14" ht="28.5">
      <c r="B11" s="164">
        <v>7</v>
      </c>
      <c r="C11" s="174" t="s">
        <v>199</v>
      </c>
      <c r="D11" s="175" t="s">
        <v>200</v>
      </c>
      <c r="E11" s="175">
        <f>252021+86403</f>
        <v>338424</v>
      </c>
      <c r="F11" s="176">
        <v>80670</v>
      </c>
      <c r="G11" s="175">
        <v>79387</v>
      </c>
      <c r="H11" s="175">
        <v>21000</v>
      </c>
      <c r="I11" s="169">
        <f t="shared" si="0"/>
        <v>519481</v>
      </c>
      <c r="J11" s="175">
        <v>0</v>
      </c>
      <c r="K11" s="169">
        <v>0</v>
      </c>
      <c r="L11" s="169">
        <v>440094</v>
      </c>
      <c r="M11" s="169">
        <f>+G11</f>
        <v>79387</v>
      </c>
      <c r="N11" s="179" t="s">
        <v>602</v>
      </c>
    </row>
    <row r="12" spans="2:14" ht="42.75">
      <c r="B12" s="173">
        <v>8</v>
      </c>
      <c r="C12" s="174" t="s">
        <v>159</v>
      </c>
      <c r="D12" s="175" t="s">
        <v>569</v>
      </c>
      <c r="E12" s="175">
        <f>595000+345260</f>
        <v>940260</v>
      </c>
      <c r="F12" s="176">
        <v>190385</v>
      </c>
      <c r="G12" s="175">
        <v>187425</v>
      </c>
      <c r="H12" s="175">
        <f>245352+49500</f>
        <v>294852</v>
      </c>
      <c r="I12" s="169">
        <f t="shared" si="0"/>
        <v>1612922</v>
      </c>
      <c r="J12" s="175">
        <v>0</v>
      </c>
      <c r="K12" s="169">
        <v>0</v>
      </c>
      <c r="L12" s="169">
        <v>1425497</v>
      </c>
      <c r="M12" s="169">
        <f>+G12</f>
        <v>187425</v>
      </c>
      <c r="N12" s="179" t="s">
        <v>602</v>
      </c>
    </row>
    <row r="13" spans="2:14" ht="28.5">
      <c r="B13" s="173">
        <v>9</v>
      </c>
      <c r="C13" s="174" t="s">
        <v>201</v>
      </c>
      <c r="D13" s="175" t="s">
        <v>202</v>
      </c>
      <c r="E13" s="175">
        <f>25411+84703+84703+84703+89703+95203-4800</f>
        <v>459626</v>
      </c>
      <c r="F13" s="180">
        <v>82208</v>
      </c>
      <c r="G13" s="175">
        <v>287963</v>
      </c>
      <c r="H13" s="175">
        <v>6667</v>
      </c>
      <c r="I13" s="169">
        <f t="shared" si="0"/>
        <v>836464</v>
      </c>
      <c r="J13" s="169">
        <f>+E13+F13+H13</f>
        <v>548501</v>
      </c>
      <c r="K13" s="175">
        <v>0</v>
      </c>
      <c r="L13" s="175">
        <v>0</v>
      </c>
      <c r="M13" s="169">
        <f>+I13-J13</f>
        <v>287963</v>
      </c>
      <c r="N13" s="179" t="s">
        <v>602</v>
      </c>
    </row>
    <row r="14" spans="2:14" ht="42.75">
      <c r="B14" s="164">
        <v>10</v>
      </c>
      <c r="C14" s="174" t="s">
        <v>203</v>
      </c>
      <c r="D14" s="175" t="s">
        <v>204</v>
      </c>
      <c r="E14" s="175">
        <f>44934+47842+53970+16592-836-17600-28658</f>
        <v>116244</v>
      </c>
      <c r="F14" s="180">
        <v>0</v>
      </c>
      <c r="G14" s="175">
        <v>113250</v>
      </c>
      <c r="H14" s="175">
        <v>1600</v>
      </c>
      <c r="I14" s="169">
        <f t="shared" si="0"/>
        <v>231094</v>
      </c>
      <c r="J14" s="169">
        <f>+E14+F14+H14</f>
        <v>117844</v>
      </c>
      <c r="K14" s="175">
        <v>0</v>
      </c>
      <c r="L14" s="175">
        <v>0</v>
      </c>
      <c r="M14" s="178">
        <f>+I14-J14</f>
        <v>113250</v>
      </c>
      <c r="N14" s="179" t="s">
        <v>606</v>
      </c>
    </row>
    <row r="15" spans="2:14" ht="57">
      <c r="B15" s="173">
        <v>11</v>
      </c>
      <c r="C15" s="174" t="s">
        <v>205</v>
      </c>
      <c r="D15" s="175" t="s">
        <v>570</v>
      </c>
      <c r="E15" s="175">
        <v>168549</v>
      </c>
      <c r="F15" s="180">
        <v>0</v>
      </c>
      <c r="G15" s="175">
        <v>91016</v>
      </c>
      <c r="H15" s="175" t="s">
        <v>15</v>
      </c>
      <c r="I15" s="169">
        <f t="shared" ref="I15:I35" si="1">E15+F15+G15</f>
        <v>259565</v>
      </c>
      <c r="J15" s="175">
        <f>+E15</f>
        <v>168549</v>
      </c>
      <c r="K15" s="169">
        <v>0</v>
      </c>
      <c r="L15" s="169">
        <v>0</v>
      </c>
      <c r="M15" s="169">
        <f>+I15-J15</f>
        <v>91016</v>
      </c>
      <c r="N15" s="179" t="s">
        <v>606</v>
      </c>
    </row>
    <row r="16" spans="2:14" ht="57">
      <c r="B16" s="173">
        <v>12</v>
      </c>
      <c r="C16" s="174" t="s">
        <v>206</v>
      </c>
      <c r="D16" s="175" t="s">
        <v>571</v>
      </c>
      <c r="E16" s="175">
        <v>0</v>
      </c>
      <c r="F16" s="180">
        <v>51923</v>
      </c>
      <c r="G16" s="175">
        <v>0</v>
      </c>
      <c r="H16" s="175">
        <v>1667</v>
      </c>
      <c r="I16" s="169">
        <f>+E16+F16+G16+H16</f>
        <v>53590</v>
      </c>
      <c r="J16" s="175">
        <v>0</v>
      </c>
      <c r="K16" s="169">
        <v>0</v>
      </c>
      <c r="L16" s="169">
        <v>53590</v>
      </c>
      <c r="M16" s="169">
        <v>0</v>
      </c>
      <c r="N16" s="179" t="s">
        <v>602</v>
      </c>
    </row>
    <row r="17" spans="2:14" ht="42.75">
      <c r="B17" s="164">
        <v>13</v>
      </c>
      <c r="C17" s="174" t="s">
        <v>207</v>
      </c>
      <c r="D17" s="175" t="s">
        <v>208</v>
      </c>
      <c r="E17" s="175">
        <v>292000</v>
      </c>
      <c r="F17" s="176">
        <v>230769</v>
      </c>
      <c r="G17" s="175">
        <v>229864.56</v>
      </c>
      <c r="H17" s="175">
        <f>60000+40000+210000+125000</f>
        <v>435000</v>
      </c>
      <c r="I17" s="169">
        <f>+E17+F17+G17+H17</f>
        <v>1187633.56</v>
      </c>
      <c r="J17" s="175">
        <f>+E17+F17+H17</f>
        <v>957769</v>
      </c>
      <c r="K17" s="169">
        <v>0</v>
      </c>
      <c r="L17" s="169">
        <v>0</v>
      </c>
      <c r="M17" s="169">
        <f>+I17-J17</f>
        <v>229864.56000000006</v>
      </c>
      <c r="N17" s="179" t="s">
        <v>606</v>
      </c>
    </row>
    <row r="18" spans="2:14" ht="42.75">
      <c r="B18" s="173">
        <v>14</v>
      </c>
      <c r="C18" s="174" t="s">
        <v>209</v>
      </c>
      <c r="D18" s="175" t="s">
        <v>210</v>
      </c>
      <c r="E18" s="175">
        <v>229370</v>
      </c>
      <c r="F18" s="176">
        <v>109292</v>
      </c>
      <c r="G18" s="175">
        <v>81727</v>
      </c>
      <c r="H18" s="175">
        <v>16667</v>
      </c>
      <c r="I18" s="169">
        <f>+E18+F18+G18+H18</f>
        <v>437056</v>
      </c>
      <c r="J18" s="175">
        <v>355329</v>
      </c>
      <c r="K18" s="169">
        <v>0</v>
      </c>
      <c r="L18" s="175">
        <v>0</v>
      </c>
      <c r="M18" s="169">
        <f>+I18-J18</f>
        <v>81727</v>
      </c>
      <c r="N18" s="179" t="s">
        <v>606</v>
      </c>
    </row>
    <row r="19" spans="2:14" ht="57">
      <c r="B19" s="173">
        <v>15</v>
      </c>
      <c r="C19" s="174" t="s">
        <v>211</v>
      </c>
      <c r="D19" s="175" t="s">
        <v>212</v>
      </c>
      <c r="E19" s="175">
        <f>77457-619</f>
        <v>76838</v>
      </c>
      <c r="F19" s="175">
        <v>0</v>
      </c>
      <c r="G19" s="175">
        <v>34259.22</v>
      </c>
      <c r="H19" s="176">
        <v>6400</v>
      </c>
      <c r="I19" s="169">
        <f>+E19+F19+G19+H19</f>
        <v>117497.22</v>
      </c>
      <c r="J19" s="175">
        <f>+E19+H19</f>
        <v>83238</v>
      </c>
      <c r="K19" s="178">
        <v>0</v>
      </c>
      <c r="L19" s="175">
        <v>0</v>
      </c>
      <c r="M19" s="178">
        <f>+I19-J19</f>
        <v>34259.22</v>
      </c>
      <c r="N19" s="179" t="s">
        <v>606</v>
      </c>
    </row>
    <row r="20" spans="2:14" ht="42.75">
      <c r="B20" s="164">
        <v>16</v>
      </c>
      <c r="C20" s="174" t="s">
        <v>213</v>
      </c>
      <c r="D20" s="175" t="s">
        <v>214</v>
      </c>
      <c r="E20" s="175">
        <v>0</v>
      </c>
      <c r="F20" s="176">
        <v>27692</v>
      </c>
      <c r="G20" s="175">
        <v>0</v>
      </c>
      <c r="H20" s="175">
        <v>7600</v>
      </c>
      <c r="I20" s="169">
        <f>+E20+F20+G20+H20</f>
        <v>35292</v>
      </c>
      <c r="J20" s="175">
        <v>0</v>
      </c>
      <c r="K20" s="169">
        <v>0</v>
      </c>
      <c r="L20" s="169">
        <v>35292</v>
      </c>
      <c r="M20" s="169">
        <v>0</v>
      </c>
      <c r="N20" s="179" t="s">
        <v>602</v>
      </c>
    </row>
    <row r="21" spans="2:14" ht="28.5">
      <c r="B21" s="173">
        <v>17</v>
      </c>
      <c r="C21" s="174" t="s">
        <v>215</v>
      </c>
      <c r="D21" s="175" t="s">
        <v>216</v>
      </c>
      <c r="E21" s="175">
        <v>505169</v>
      </c>
      <c r="F21" s="175">
        <v>0</v>
      </c>
      <c r="G21" s="175">
        <v>146491</v>
      </c>
      <c r="H21" s="175">
        <v>0</v>
      </c>
      <c r="I21" s="169">
        <f t="shared" ref="I21:I22" si="2">+E21+F21+G21+H21</f>
        <v>651660</v>
      </c>
      <c r="J21" s="175">
        <f>+E21</f>
        <v>505169</v>
      </c>
      <c r="K21" s="169">
        <v>0</v>
      </c>
      <c r="L21" s="175">
        <v>0</v>
      </c>
      <c r="M21" s="169">
        <f>+I21-J21</f>
        <v>146491</v>
      </c>
      <c r="N21" s="179" t="s">
        <v>606</v>
      </c>
    </row>
    <row r="22" spans="2:14" ht="42.75">
      <c r="B22" s="173">
        <v>18</v>
      </c>
      <c r="C22" s="174" t="s">
        <v>217</v>
      </c>
      <c r="D22" s="175" t="s">
        <v>218</v>
      </c>
      <c r="E22" s="175">
        <f>65000*4</f>
        <v>260000</v>
      </c>
      <c r="F22" s="175">
        <v>0</v>
      </c>
      <c r="G22" s="175">
        <v>59602</v>
      </c>
      <c r="H22" s="175">
        <v>0</v>
      </c>
      <c r="I22" s="169">
        <f t="shared" si="2"/>
        <v>319602</v>
      </c>
      <c r="J22" s="175">
        <f>+E22</f>
        <v>260000</v>
      </c>
      <c r="K22" s="178">
        <v>0</v>
      </c>
      <c r="L22" s="175">
        <v>0</v>
      </c>
      <c r="M22" s="169">
        <f>+I22-J22</f>
        <v>59602</v>
      </c>
      <c r="N22" s="179" t="s">
        <v>606</v>
      </c>
    </row>
    <row r="23" spans="2:14" ht="42.75">
      <c r="B23" s="164">
        <v>19</v>
      </c>
      <c r="C23" s="174" t="s">
        <v>219</v>
      </c>
      <c r="D23" s="175" t="s">
        <v>220</v>
      </c>
      <c r="E23" s="175">
        <f>1079449-4800</f>
        <v>1074649</v>
      </c>
      <c r="F23" s="176">
        <v>184615</v>
      </c>
      <c r="G23" s="181">
        <v>494540</v>
      </c>
      <c r="H23" s="175">
        <f>60000-5000</f>
        <v>55000</v>
      </c>
      <c r="I23" s="169">
        <f>+E23+F23+G23+H23</f>
        <v>1808804</v>
      </c>
      <c r="J23" s="169">
        <f>+E23+F23+H23</f>
        <v>1314264</v>
      </c>
      <c r="K23" s="169">
        <v>0</v>
      </c>
      <c r="L23" s="175">
        <v>0</v>
      </c>
      <c r="M23" s="169">
        <f>+I23-J23</f>
        <v>494540</v>
      </c>
      <c r="N23" s="179" t="s">
        <v>606</v>
      </c>
    </row>
    <row r="24" spans="2:14" ht="28.5">
      <c r="B24" s="173">
        <v>20</v>
      </c>
      <c r="C24" s="174" t="s">
        <v>221</v>
      </c>
      <c r="D24" s="175" t="s">
        <v>222</v>
      </c>
      <c r="E24" s="175">
        <v>7948000</v>
      </c>
      <c r="F24" s="180">
        <v>0</v>
      </c>
      <c r="G24" s="175">
        <v>2214973</v>
      </c>
      <c r="H24" s="175" t="s">
        <v>15</v>
      </c>
      <c r="I24" s="169">
        <f t="shared" si="1"/>
        <v>10162973</v>
      </c>
      <c r="J24" s="175">
        <v>0</v>
      </c>
      <c r="K24" s="175">
        <v>0</v>
      </c>
      <c r="L24" s="169">
        <v>7948000</v>
      </c>
      <c r="M24" s="178">
        <f>+G24</f>
        <v>2214973</v>
      </c>
      <c r="N24" s="179" t="s">
        <v>602</v>
      </c>
    </row>
    <row r="25" spans="2:14" ht="42.75">
      <c r="B25" s="173">
        <v>21</v>
      </c>
      <c r="C25" s="174" t="s">
        <v>223</v>
      </c>
      <c r="D25" s="175" t="s">
        <v>224</v>
      </c>
      <c r="E25" s="175">
        <f>970233+137651</f>
        <v>1107884</v>
      </c>
      <c r="F25" s="180">
        <v>0</v>
      </c>
      <c r="G25" s="177">
        <f>528232.06+27017.31+87127+17100.76</f>
        <v>659477.13000000012</v>
      </c>
      <c r="H25" s="175" t="s">
        <v>15</v>
      </c>
      <c r="I25" s="169">
        <f t="shared" si="1"/>
        <v>1767361.1300000001</v>
      </c>
      <c r="J25" s="175">
        <f>970233+137651</f>
        <v>1107884</v>
      </c>
      <c r="K25" s="177">
        <v>0</v>
      </c>
      <c r="L25" s="177">
        <v>0</v>
      </c>
      <c r="M25" s="178">
        <f>+I25-J25</f>
        <v>659477.13000000012</v>
      </c>
      <c r="N25" s="179" t="s">
        <v>606</v>
      </c>
    </row>
    <row r="26" spans="2:14" ht="42.75">
      <c r="B26" s="164">
        <v>22</v>
      </c>
      <c r="C26" s="174" t="s">
        <v>225</v>
      </c>
      <c r="D26" s="175" t="s">
        <v>226</v>
      </c>
      <c r="E26" s="175">
        <v>210000</v>
      </c>
      <c r="F26" s="180">
        <v>141346</v>
      </c>
      <c r="G26" s="175">
        <v>158338</v>
      </c>
      <c r="H26" s="175">
        <f>26833+1650+60000</f>
        <v>88483</v>
      </c>
      <c r="I26" s="169">
        <f>+E26+F26+G26+H26</f>
        <v>598167</v>
      </c>
      <c r="J26" s="175">
        <v>0</v>
      </c>
      <c r="K26" s="178">
        <v>0</v>
      </c>
      <c r="L26" s="178">
        <v>439829</v>
      </c>
      <c r="M26" s="178">
        <f>+G26</f>
        <v>158338</v>
      </c>
      <c r="N26" s="179" t="s">
        <v>602</v>
      </c>
    </row>
    <row r="27" spans="2:14" ht="42.75">
      <c r="B27" s="173">
        <v>23</v>
      </c>
      <c r="C27" s="174" t="s">
        <v>227</v>
      </c>
      <c r="D27" s="175" t="s">
        <v>228</v>
      </c>
      <c r="E27" s="175">
        <v>297082</v>
      </c>
      <c r="F27" s="180">
        <v>0</v>
      </c>
      <c r="G27" s="175">
        <v>191880</v>
      </c>
      <c r="H27" s="175" t="s">
        <v>15</v>
      </c>
      <c r="I27" s="169">
        <f t="shared" si="1"/>
        <v>488962</v>
      </c>
      <c r="J27" s="175">
        <f>+E27</f>
        <v>297082</v>
      </c>
      <c r="K27" s="175">
        <v>0</v>
      </c>
      <c r="L27" s="175">
        <v>0</v>
      </c>
      <c r="M27" s="178">
        <f>+I27-J27</f>
        <v>191880</v>
      </c>
      <c r="N27" s="179" t="s">
        <v>606</v>
      </c>
    </row>
    <row r="28" spans="2:14" ht="28.5">
      <c r="B28" s="173">
        <v>24</v>
      </c>
      <c r="C28" s="174" t="s">
        <v>229</v>
      </c>
      <c r="D28" s="175" t="s">
        <v>230</v>
      </c>
      <c r="E28" s="175">
        <f>2032392-14400</f>
        <v>2017992</v>
      </c>
      <c r="F28" s="176">
        <v>1176923</v>
      </c>
      <c r="G28" s="175">
        <v>1294639</v>
      </c>
      <c r="H28" s="180">
        <f>180000+75796-30500</f>
        <v>225296</v>
      </c>
      <c r="I28" s="169">
        <f>+E28+F28+G28+H28</f>
        <v>4714850</v>
      </c>
      <c r="J28" s="175">
        <f>+E28+F28+H28</f>
        <v>3420211</v>
      </c>
      <c r="K28" s="177">
        <v>0</v>
      </c>
      <c r="L28" s="180">
        <v>0</v>
      </c>
      <c r="M28" s="180">
        <f>+I28-J28</f>
        <v>1294639</v>
      </c>
      <c r="N28" s="179" t="s">
        <v>606</v>
      </c>
    </row>
    <row r="29" spans="2:14" ht="28.5">
      <c r="B29" s="164">
        <v>25</v>
      </c>
      <c r="C29" s="174" t="s">
        <v>231</v>
      </c>
      <c r="D29" s="175" t="s">
        <v>232</v>
      </c>
      <c r="E29" s="175">
        <v>128898</v>
      </c>
      <c r="F29" s="180">
        <v>0</v>
      </c>
      <c r="G29" s="175">
        <v>0</v>
      </c>
      <c r="H29" s="180">
        <v>0</v>
      </c>
      <c r="I29" s="169">
        <f t="shared" si="1"/>
        <v>128898</v>
      </c>
      <c r="J29" s="180">
        <v>0</v>
      </c>
      <c r="K29" s="180">
        <v>0</v>
      </c>
      <c r="L29" s="177">
        <v>128898</v>
      </c>
      <c r="M29" s="177">
        <v>0</v>
      </c>
      <c r="N29" s="179" t="s">
        <v>602</v>
      </c>
    </row>
    <row r="30" spans="2:14" ht="28.5">
      <c r="B30" s="173">
        <v>26</v>
      </c>
      <c r="C30" s="174" t="s">
        <v>233</v>
      </c>
      <c r="D30" s="175" t="s">
        <v>234</v>
      </c>
      <c r="E30" s="175">
        <v>1184000</v>
      </c>
      <c r="F30" s="180">
        <v>0</v>
      </c>
      <c r="G30" s="175">
        <v>872990</v>
      </c>
      <c r="H30" s="180">
        <v>0</v>
      </c>
      <c r="I30" s="169">
        <f t="shared" si="1"/>
        <v>2056990</v>
      </c>
      <c r="J30" s="180">
        <f>+E30</f>
        <v>1184000</v>
      </c>
      <c r="K30" s="180">
        <v>0</v>
      </c>
      <c r="L30" s="178">
        <v>0</v>
      </c>
      <c r="M30" s="177">
        <f>+G30</f>
        <v>872990</v>
      </c>
      <c r="N30" s="179" t="s">
        <v>602</v>
      </c>
    </row>
    <row r="31" spans="2:14" ht="42.75">
      <c r="B31" s="173">
        <v>27</v>
      </c>
      <c r="C31" s="174" t="s">
        <v>235</v>
      </c>
      <c r="D31" s="182" t="s">
        <v>236</v>
      </c>
      <c r="E31" s="175">
        <v>605547</v>
      </c>
      <c r="F31" s="180">
        <v>0</v>
      </c>
      <c r="G31" s="175">
        <v>172242</v>
      </c>
      <c r="H31" s="180">
        <v>0</v>
      </c>
      <c r="I31" s="169">
        <f t="shared" si="1"/>
        <v>777789</v>
      </c>
      <c r="J31" s="175">
        <v>605547</v>
      </c>
      <c r="K31" s="177">
        <v>0</v>
      </c>
      <c r="L31" s="177">
        <v>0</v>
      </c>
      <c r="M31" s="178">
        <f>+I31-J31</f>
        <v>172242</v>
      </c>
      <c r="N31" s="179" t="s">
        <v>606</v>
      </c>
    </row>
    <row r="32" spans="2:14" ht="57">
      <c r="B32" s="164">
        <v>28</v>
      </c>
      <c r="C32" s="174" t="s">
        <v>237</v>
      </c>
      <c r="D32" s="175" t="s">
        <v>238</v>
      </c>
      <c r="E32" s="175">
        <v>75260</v>
      </c>
      <c r="F32" s="180">
        <v>0</v>
      </c>
      <c r="G32" s="175">
        <v>11300</v>
      </c>
      <c r="H32" s="180">
        <v>0</v>
      </c>
      <c r="I32" s="169">
        <f t="shared" si="1"/>
        <v>86560</v>
      </c>
      <c r="J32" s="180">
        <f>+E32</f>
        <v>75260</v>
      </c>
      <c r="K32" s="180">
        <v>0</v>
      </c>
      <c r="L32" s="178">
        <v>0</v>
      </c>
      <c r="M32" s="178">
        <f>+I32-J32</f>
        <v>11300</v>
      </c>
      <c r="N32" s="179" t="s">
        <v>606</v>
      </c>
    </row>
    <row r="33" spans="2:14" ht="42.75">
      <c r="B33" s="173">
        <v>29</v>
      </c>
      <c r="C33" s="174" t="s">
        <v>239</v>
      </c>
      <c r="D33" s="175" t="s">
        <v>240</v>
      </c>
      <c r="E33" s="175">
        <v>341514</v>
      </c>
      <c r="F33" s="180">
        <v>0</v>
      </c>
      <c r="G33" s="175">
        <v>0</v>
      </c>
      <c r="H33" s="174" t="s">
        <v>15</v>
      </c>
      <c r="I33" s="169">
        <f t="shared" si="1"/>
        <v>341514</v>
      </c>
      <c r="J33" s="180">
        <v>163441</v>
      </c>
      <c r="K33" s="183">
        <v>0</v>
      </c>
      <c r="L33" s="184">
        <v>178073</v>
      </c>
      <c r="M33" s="184">
        <v>0</v>
      </c>
      <c r="N33" s="179" t="s">
        <v>602</v>
      </c>
    </row>
    <row r="34" spans="2:14" ht="42.75">
      <c r="B34" s="173">
        <v>30</v>
      </c>
      <c r="C34" s="174" t="s">
        <v>241</v>
      </c>
      <c r="D34" s="181" t="s">
        <v>242</v>
      </c>
      <c r="E34" s="175">
        <v>88000</v>
      </c>
      <c r="F34" s="180">
        <v>0</v>
      </c>
      <c r="G34" s="175">
        <v>79546</v>
      </c>
      <c r="H34" s="174" t="s">
        <v>15</v>
      </c>
      <c r="I34" s="169">
        <f t="shared" si="1"/>
        <v>167546</v>
      </c>
      <c r="J34" s="180">
        <f>+E34</f>
        <v>88000</v>
      </c>
      <c r="K34" s="177">
        <v>0</v>
      </c>
      <c r="L34" s="177">
        <v>0</v>
      </c>
      <c r="M34" s="184">
        <f>+I34-J34</f>
        <v>79546</v>
      </c>
      <c r="N34" s="179" t="s">
        <v>606</v>
      </c>
    </row>
    <row r="35" spans="2:14" ht="28.5">
      <c r="B35" s="173">
        <v>31</v>
      </c>
      <c r="C35" s="174" t="s">
        <v>243</v>
      </c>
      <c r="D35" s="181" t="s">
        <v>562</v>
      </c>
      <c r="E35" s="175">
        <v>200000</v>
      </c>
      <c r="F35" s="180">
        <v>0</v>
      </c>
      <c r="G35" s="175">
        <v>0</v>
      </c>
      <c r="H35" s="174" t="s">
        <v>565</v>
      </c>
      <c r="I35" s="169">
        <f t="shared" si="1"/>
        <v>200000</v>
      </c>
      <c r="J35" s="180">
        <v>144282</v>
      </c>
      <c r="K35" s="177">
        <v>0</v>
      </c>
      <c r="L35" s="177">
        <v>55718</v>
      </c>
      <c r="M35" s="184">
        <v>0</v>
      </c>
      <c r="N35" s="179" t="s">
        <v>602</v>
      </c>
    </row>
    <row r="36" spans="2:14" ht="29.25" thickBot="1">
      <c r="B36" s="173">
        <v>32</v>
      </c>
      <c r="C36" s="174" t="s">
        <v>157</v>
      </c>
      <c r="D36" s="181" t="s">
        <v>158</v>
      </c>
      <c r="E36" s="175">
        <v>1548030</v>
      </c>
      <c r="F36" s="180">
        <v>0</v>
      </c>
      <c r="G36" s="175">
        <v>0</v>
      </c>
      <c r="H36" s="174">
        <v>0</v>
      </c>
      <c r="I36" s="169">
        <f>+E36</f>
        <v>1548030</v>
      </c>
      <c r="J36" s="180">
        <f>+I36</f>
        <v>1548030</v>
      </c>
      <c r="K36" s="177">
        <v>0</v>
      </c>
      <c r="L36" s="177">
        <v>0</v>
      </c>
      <c r="M36" s="184">
        <v>0</v>
      </c>
      <c r="N36" s="179"/>
    </row>
    <row r="37" spans="2:14" s="190" customFormat="1" ht="15" thickBot="1">
      <c r="B37" s="185"/>
      <c r="C37" s="186" t="s">
        <v>334</v>
      </c>
      <c r="D37" s="187"/>
      <c r="E37" s="188">
        <f t="shared" ref="E37:M37" si="3">+SUM(E5:E36)</f>
        <v>21920724</v>
      </c>
      <c r="F37" s="188">
        <f t="shared" si="3"/>
        <v>2758130</v>
      </c>
      <c r="G37" s="188">
        <f t="shared" si="3"/>
        <v>8226678.5599999996</v>
      </c>
      <c r="H37" s="188">
        <f t="shared" si="3"/>
        <v>1492565</v>
      </c>
      <c r="I37" s="188">
        <f t="shared" si="3"/>
        <v>34398097.560000002</v>
      </c>
      <c r="J37" s="188">
        <f>+SUM(J5:J36)</f>
        <v>14673328</v>
      </c>
      <c r="K37" s="188">
        <f t="shared" si="3"/>
        <v>0</v>
      </c>
      <c r="L37" s="188">
        <f t="shared" si="3"/>
        <v>11512533</v>
      </c>
      <c r="M37" s="188">
        <f t="shared" si="3"/>
        <v>8212236.5599999996</v>
      </c>
      <c r="N37" s="189"/>
    </row>
    <row r="38" spans="2:14" ht="15" thickTop="1"/>
  </sheetData>
  <sheetProtection password="CA19" sheet="1" objects="1" scenarios="1" selectLockedCells="1" selectUnlockedCells="1"/>
  <mergeCells count="1">
    <mergeCell ref="B2:N2"/>
  </mergeCells>
  <pageMargins left="0.7" right="0.7" top="0.75" bottom="0.75" header="0.3" footer="0.3"/>
  <pageSetup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Financial Creditor</vt:lpstr>
      <vt:lpstr>Form CA - Final</vt:lpstr>
      <vt:lpstr>FORM B</vt:lpstr>
      <vt:lpstr>FORM D</vt:lpstr>
      <vt:lpstr>'Financial Creditor'!Print_Area</vt:lpstr>
      <vt:lpstr>'FORM B'!Print_Area</vt:lpstr>
      <vt:lpstr>'Form CA - Final'!Print_Area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comp3</cp:lastModifiedBy>
  <cp:lastPrinted>2020-09-15T07:40:38Z</cp:lastPrinted>
  <dcterms:created xsi:type="dcterms:W3CDTF">2019-09-30T05:24:19Z</dcterms:created>
  <dcterms:modified xsi:type="dcterms:W3CDTF">2020-09-15T07:55:21Z</dcterms:modified>
</cp:coreProperties>
</file>